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10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1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2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3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4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6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7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8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4.xml" ContentType="application/vnd.openxmlformats-officedocument.drawing+xml"/>
  <Override PartName="/xl/charts/chart19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20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1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2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Documentos ejecucion laboral\INTERVENTORIA CONSORCIO SOMMA\CONCESIONARIO OPAM\ESTADISTICA AIM\"/>
    </mc:Choice>
  </mc:AlternateContent>
  <xr:revisionPtr revIDLastSave="0" documentId="13_ncr:1_{77AD1474-01A4-4E8D-8BA5-0939735FDC86}" xr6:coauthVersionLast="47" xr6:coauthVersionMax="47" xr10:uidLastSave="{00000000-0000-0000-0000-000000000000}"/>
  <bookViews>
    <workbookView xWindow="-120" yWindow="-120" windowWidth="20730" windowHeight="11040" tabRatio="800" xr2:uid="{00000000-000D-0000-FFFF-FFFF00000000}"/>
  </bookViews>
  <sheets>
    <sheet name="ESTADISTICAS AEROLINEAS " sheetId="11" r:id="rId1"/>
    <sheet name="DESTINO Y PROCE " sheetId="19" r:id="rId2"/>
    <sheet name="ATRASOS " sheetId="17" r:id="rId3"/>
    <sheet name="CARGA " sheetId="18" r:id="rId4"/>
    <sheet name="TASAS AEROPORTUARIAS" sheetId="20" r:id="rId5"/>
    <sheet name="TASAS MENSUALES " sheetId="21" r:id="rId6"/>
  </sheets>
  <definedNames>
    <definedName name="_Hlk74400455" localSheetId="2">'ATRASOS '!$C$88</definedName>
    <definedName name="_xlnm.Print_Area" localSheetId="2">'ATRASOS '!$A$1:$AH$172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0" i="19" l="1"/>
  <c r="C79" i="19"/>
  <c r="C78" i="19"/>
  <c r="C77" i="19"/>
  <c r="C76" i="19"/>
  <c r="C75" i="19"/>
  <c r="C40" i="19"/>
  <c r="C39" i="19"/>
  <c r="C38" i="19"/>
  <c r="C37" i="19"/>
  <c r="C36" i="19"/>
  <c r="C35" i="19"/>
  <c r="E29" i="19"/>
  <c r="L60" i="21"/>
  <c r="K60" i="21"/>
  <c r="J60" i="21"/>
  <c r="L55" i="21"/>
  <c r="K55" i="21"/>
  <c r="J55" i="21"/>
  <c r="E164" i="17"/>
  <c r="H164" i="17" s="1"/>
  <c r="D164" i="17"/>
  <c r="G71" i="17"/>
  <c r="F71" i="17"/>
  <c r="E71" i="17"/>
  <c r="D71" i="17"/>
  <c r="C71" i="17"/>
  <c r="D62" i="17"/>
  <c r="E62" i="17"/>
  <c r="F62" i="17"/>
  <c r="G62" i="17"/>
  <c r="C62" i="17"/>
  <c r="J76" i="17"/>
  <c r="H171" i="17"/>
  <c r="G171" i="17"/>
  <c r="H170" i="17"/>
  <c r="G170" i="17"/>
  <c r="H165" i="17"/>
  <c r="G165" i="17"/>
  <c r="G164" i="17"/>
  <c r="J45" i="17"/>
  <c r="K45" i="17" s="1"/>
  <c r="C61" i="18"/>
  <c r="L60" i="18"/>
  <c r="M60" i="18"/>
  <c r="N60" i="18"/>
  <c r="E158" i="17"/>
  <c r="H158" i="17" s="1"/>
  <c r="D158" i="17"/>
  <c r="G158" i="17" s="1"/>
  <c r="I86" i="17"/>
  <c r="H86" i="17"/>
  <c r="G86" i="17"/>
  <c r="F86" i="17"/>
  <c r="E86" i="17"/>
  <c r="D86" i="17"/>
  <c r="C86" i="17"/>
  <c r="J44" i="17"/>
  <c r="K44" i="17" s="1"/>
  <c r="K51" i="17" s="1"/>
  <c r="C28" i="11"/>
  <c r="C20" i="11"/>
  <c r="C81" i="19"/>
  <c r="H159" i="17"/>
  <c r="G159" i="17"/>
  <c r="F29" i="20"/>
  <c r="L45" i="21"/>
  <c r="L50" i="21"/>
  <c r="K50" i="21"/>
  <c r="J50" i="21"/>
  <c r="G12" i="20"/>
  <c r="G13" i="20"/>
  <c r="F12" i="20"/>
  <c r="F13" i="20"/>
  <c r="E13" i="20"/>
  <c r="E12" i="20"/>
  <c r="E11" i="20"/>
  <c r="G29" i="20"/>
  <c r="G30" i="20"/>
  <c r="F30" i="20"/>
  <c r="E30" i="20"/>
  <c r="E29" i="20"/>
  <c r="E28" i="20"/>
  <c r="K45" i="21"/>
  <c r="J45" i="21"/>
  <c r="G11" i="20"/>
  <c r="G28" i="20"/>
  <c r="F28" i="20"/>
  <c r="F11" i="20"/>
  <c r="K60" i="18"/>
  <c r="J60" i="18"/>
  <c r="C43" i="18"/>
  <c r="C35" i="18"/>
  <c r="C27" i="18"/>
  <c r="E152" i="17"/>
  <c r="H153" i="17"/>
  <c r="G153" i="17"/>
  <c r="H152" i="17"/>
  <c r="G152" i="17"/>
  <c r="H66" i="17"/>
  <c r="H65" i="17"/>
  <c r="H64" i="17"/>
  <c r="H63" i="17"/>
  <c r="L40" i="21"/>
  <c r="K40" i="21"/>
  <c r="J40" i="21"/>
  <c r="H146" i="17"/>
  <c r="G146" i="17"/>
  <c r="H145" i="17"/>
  <c r="G145" i="17"/>
  <c r="J51" i="17"/>
  <c r="F51" i="17"/>
  <c r="J43" i="17"/>
  <c r="K43" i="17" s="1"/>
  <c r="J42" i="17"/>
  <c r="K42" i="17" s="1"/>
  <c r="L16" i="17"/>
  <c r="C122" i="19"/>
  <c r="C121" i="19"/>
  <c r="C120" i="19"/>
  <c r="C119" i="19"/>
  <c r="C118" i="19"/>
  <c r="C117" i="19"/>
  <c r="C116" i="19"/>
  <c r="C112" i="19"/>
  <c r="C111" i="19"/>
  <c r="C110" i="19"/>
  <c r="C109" i="19"/>
  <c r="C108" i="19"/>
  <c r="C107" i="19"/>
  <c r="C106" i="19"/>
  <c r="E101" i="19"/>
  <c r="E70" i="19"/>
  <c r="C45" i="19"/>
  <c r="C57" i="11"/>
  <c r="C56" i="11"/>
  <c r="C51" i="11"/>
  <c r="C50" i="11"/>
  <c r="C49" i="11"/>
  <c r="C48" i="11"/>
  <c r="C47" i="11"/>
  <c r="C46" i="11"/>
  <c r="C26" i="11"/>
  <c r="C27" i="11"/>
  <c r="C25" i="11"/>
  <c r="C19" i="11"/>
  <c r="C18" i="11"/>
  <c r="C17" i="11"/>
  <c r="C16" i="11"/>
  <c r="C15" i="11"/>
  <c r="I60" i="18"/>
  <c r="C123" i="19" l="1"/>
  <c r="C132" i="19"/>
  <c r="C148" i="19" s="1"/>
  <c r="C131" i="19"/>
  <c r="C147" i="19" s="1"/>
  <c r="C130" i="19"/>
  <c r="C145" i="19" s="1"/>
  <c r="C127" i="19"/>
  <c r="C143" i="19" s="1"/>
  <c r="C129" i="19"/>
  <c r="C144" i="19" s="1"/>
  <c r="C137" i="19"/>
  <c r="C128" i="19"/>
  <c r="C113" i="19"/>
  <c r="H62" i="17"/>
  <c r="C30" i="11"/>
  <c r="C21" i="11"/>
  <c r="C87" i="19"/>
  <c r="C138" i="19" l="1"/>
  <c r="C146" i="19"/>
  <c r="C142" i="19"/>
  <c r="C149" i="19" s="1"/>
  <c r="C133" i="19"/>
  <c r="D67" i="17"/>
  <c r="G67" i="17"/>
  <c r="F67" i="17"/>
  <c r="E67" i="17"/>
  <c r="C67" i="17"/>
  <c r="D86" i="19"/>
  <c r="D85" i="19"/>
  <c r="D87" i="19" s="1"/>
  <c r="K41" i="17"/>
  <c r="H139" i="17"/>
  <c r="H138" i="17"/>
  <c r="G139" i="17"/>
  <c r="G138" i="17"/>
  <c r="L35" i="21" l="1"/>
  <c r="K35" i="21"/>
  <c r="J35" i="21"/>
  <c r="O58" i="18" l="1"/>
  <c r="H60" i="18"/>
  <c r="H131" i="17"/>
  <c r="G131" i="17"/>
  <c r="H130" i="17"/>
  <c r="G130" i="17"/>
  <c r="K40" i="17" l="1"/>
  <c r="C58" i="11"/>
  <c r="L30" i="21"/>
  <c r="K30" i="21"/>
  <c r="J30" i="21"/>
  <c r="G60" i="18"/>
  <c r="L25" i="21"/>
  <c r="G123" i="17"/>
  <c r="G122" i="17"/>
  <c r="F81" i="17" l="1"/>
  <c r="I81" i="17"/>
  <c r="C81" i="17"/>
  <c r="D81" i="17"/>
  <c r="E81" i="17"/>
  <c r="G81" i="17"/>
  <c r="H81" i="17"/>
  <c r="H123" i="17"/>
  <c r="H122" i="17"/>
  <c r="K39" i="17"/>
  <c r="K25" i="21"/>
  <c r="J25" i="21"/>
  <c r="F60" i="18"/>
  <c r="L20" i="21"/>
  <c r="K20" i="21"/>
  <c r="J20" i="21"/>
  <c r="J80" i="17"/>
  <c r="J79" i="17"/>
  <c r="J78" i="17"/>
  <c r="J77" i="17"/>
  <c r="K38" i="17" l="1"/>
  <c r="D101" i="19" l="1"/>
  <c r="L15" i="21"/>
  <c r="K15" i="21"/>
  <c r="J15" i="21"/>
  <c r="E60" i="18"/>
  <c r="J86" i="17"/>
  <c r="H115" i="17"/>
  <c r="H114" i="17"/>
  <c r="G115" i="17"/>
  <c r="G114" i="17"/>
  <c r="H107" i="17"/>
  <c r="H106" i="17"/>
  <c r="G107" i="17"/>
  <c r="G106" i="17"/>
  <c r="J37" i="17"/>
  <c r="K37" i="17" s="1"/>
  <c r="D102" i="19" l="1"/>
  <c r="E97" i="19" l="1"/>
  <c r="D97" i="19"/>
  <c r="C21" i="18"/>
  <c r="D60" i="18"/>
  <c r="H99" i="17"/>
  <c r="H98" i="17"/>
  <c r="G98" i="17"/>
  <c r="G99" i="17"/>
  <c r="D103" i="19" l="1"/>
  <c r="J36" i="17"/>
  <c r="K36" i="17" s="1"/>
  <c r="L10" i="21" l="1"/>
  <c r="K10" i="21"/>
  <c r="J10" i="21"/>
  <c r="D91" i="17" l="1"/>
  <c r="E91" i="17" l="1"/>
  <c r="J35" i="17"/>
  <c r="L5" i="21"/>
  <c r="K5" i="21"/>
  <c r="J5" i="21"/>
  <c r="F35" i="17"/>
  <c r="D62" i="21"/>
  <c r="E62" i="21"/>
  <c r="C62" i="21"/>
  <c r="I47" i="17" l="1"/>
  <c r="H47" i="17"/>
  <c r="G47" i="17"/>
  <c r="O59" i="18"/>
  <c r="O57" i="18"/>
  <c r="K46" i="17" l="1"/>
  <c r="H71" i="17" l="1"/>
  <c r="E45" i="21" l="1"/>
  <c r="D45" i="21"/>
  <c r="C45" i="21"/>
  <c r="E40" i="21"/>
  <c r="D40" i="21"/>
  <c r="C40" i="21"/>
  <c r="E35" i="21"/>
  <c r="D35" i="21"/>
  <c r="C35" i="21"/>
  <c r="E30" i="21"/>
  <c r="D30" i="21"/>
  <c r="C30" i="21"/>
  <c r="E25" i="21"/>
  <c r="D25" i="21"/>
  <c r="C25" i="21"/>
  <c r="E20" i="21"/>
  <c r="D20" i="21"/>
  <c r="C20" i="21"/>
  <c r="E15" i="21"/>
  <c r="D15" i="21"/>
  <c r="C15" i="21"/>
  <c r="E10" i="21"/>
  <c r="D10" i="21"/>
  <c r="C10" i="21"/>
  <c r="E5" i="21"/>
  <c r="D5" i="21"/>
  <c r="C5" i="21"/>
  <c r="D33" i="20"/>
  <c r="C33" i="20"/>
  <c r="C16" i="20"/>
  <c r="D16" i="20"/>
  <c r="C60" i="18"/>
  <c r="C51" i="18"/>
  <c r="C6" i="18"/>
  <c r="H92" i="17"/>
  <c r="G92" i="17"/>
  <c r="H91" i="17"/>
  <c r="G91" i="17"/>
  <c r="E47" i="17"/>
  <c r="D47" i="17"/>
  <c r="C47" i="17"/>
  <c r="K16" i="17"/>
  <c r="J16" i="17"/>
  <c r="I16" i="17"/>
  <c r="H16" i="17"/>
  <c r="G16" i="17"/>
  <c r="F16" i="17"/>
  <c r="E16" i="17"/>
  <c r="D16" i="17"/>
  <c r="C16" i="17"/>
  <c r="F70" i="19"/>
  <c r="C47" i="19"/>
  <c r="C41" i="19"/>
  <c r="F29" i="19"/>
  <c r="C52" i="11"/>
  <c r="D42" i="11"/>
  <c r="C42" i="11"/>
  <c r="D10" i="11"/>
  <c r="C10" i="11"/>
  <c r="D80" i="19" l="1"/>
  <c r="D79" i="19"/>
  <c r="D78" i="19"/>
  <c r="D77" i="19"/>
  <c r="D76" i="19"/>
  <c r="D75" i="19"/>
  <c r="D46" i="19"/>
  <c r="D45" i="19"/>
  <c r="D40" i="19"/>
  <c r="D39" i="19"/>
  <c r="D38" i="19"/>
  <c r="D37" i="19"/>
  <c r="D36" i="19"/>
  <c r="D35" i="19"/>
  <c r="O60" i="18"/>
  <c r="J47" i="17"/>
  <c r="K47" i="17" s="1"/>
  <c r="K35" i="17"/>
  <c r="F47" i="17"/>
  <c r="E71" i="19"/>
  <c r="E30" i="19"/>
  <c r="D47" i="19" l="1"/>
  <c r="D81" i="19"/>
  <c r="D41" i="19"/>
</calcChain>
</file>

<file path=xl/sharedStrings.xml><?xml version="1.0" encoding="utf-8"?>
<sst xmlns="http://schemas.openxmlformats.org/spreadsheetml/2006/main" count="790" uniqueCount="188">
  <si>
    <t>AEROLINEA</t>
  </si>
  <si>
    <t>PAX. NACIONALES</t>
  </si>
  <si>
    <t>PAX. INTERNACIONALES</t>
  </si>
  <si>
    <t>LATAM</t>
  </si>
  <si>
    <t>AVIANCA</t>
  </si>
  <si>
    <t>COPA</t>
  </si>
  <si>
    <t>TOTAL</t>
  </si>
  <si>
    <t>AEROPUERTOS</t>
  </si>
  <si>
    <t>DESTINO</t>
  </si>
  <si>
    <t>MPTO</t>
  </si>
  <si>
    <t>Aero Inter de T Ocumen</t>
  </si>
  <si>
    <t>PANAMA</t>
  </si>
  <si>
    <t>SKGY</t>
  </si>
  <si>
    <t>Aero Guaymaral</t>
  </si>
  <si>
    <t>BOGOTA</t>
  </si>
  <si>
    <t>SKMD</t>
  </si>
  <si>
    <t>Aero Inter Olaya Herrera</t>
  </si>
  <si>
    <t>MEDELLIN</t>
  </si>
  <si>
    <t>SKBO</t>
  </si>
  <si>
    <t>Aero Inter Dorado</t>
  </si>
  <si>
    <t>BOGOTÁ</t>
  </si>
  <si>
    <t>SKCG</t>
  </si>
  <si>
    <t>Aero Inter Rafael Nuñez</t>
  </si>
  <si>
    <t>CARTAGENA</t>
  </si>
  <si>
    <t>SKRG</t>
  </si>
  <si>
    <t>Aero Inter José María Cordoba</t>
  </si>
  <si>
    <t>RIO NEGRO</t>
  </si>
  <si>
    <t>SKSM</t>
  </si>
  <si>
    <t>CÓDIGO AEROLINEA OACI</t>
  </si>
  <si>
    <t>PROCEDENCIA</t>
  </si>
  <si>
    <t>ARE</t>
  </si>
  <si>
    <t>AVA</t>
  </si>
  <si>
    <t>NACIONALES</t>
  </si>
  <si>
    <t>DESTINO Y PROCEDENCIA</t>
  </si>
  <si>
    <t>INTERNACIONALES</t>
  </si>
  <si>
    <t>AÑO 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</si>
  <si>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</si>
  <si>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</si>
  <si>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</si>
  <si>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</si>
  <si>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</si>
  <si>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</si>
  <si>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</si>
  <si>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</si>
  <si>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</si>
  <si>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</si>
  <si>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</si>
  <si>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</si>
  <si>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</t>
  </si>
  <si>
    <t>MILITAR Y ESTADO</t>
  </si>
  <si>
    <t>REGULAR</t>
  </si>
  <si>
    <t>NO REGULAR</t>
  </si>
  <si>
    <t>AEROLÍNEA</t>
  </si>
  <si>
    <t>AMERICAN</t>
  </si>
  <si>
    <t>TOTAL VUELOS</t>
  </si>
  <si>
    <t xml:space="preserve">CLASIFICACIÓN (A) DE 00 MINUTOS A 10 MINUTOS </t>
  </si>
  <si>
    <t xml:space="preserve">CLASIFICACIÓN (B) DE 11 MINUTOS A 30 MINUTOS </t>
  </si>
  <si>
    <t>CLASIFICACIÓN ( C ) DE 31 MINUTOS A 1 HORA</t>
  </si>
  <si>
    <t>CLASIFICACIÓN (D) DE MÁS DE 1 HORA</t>
  </si>
  <si>
    <t>PORCENTAJE PARTICIPACIÓN</t>
  </si>
  <si>
    <t>CUMPLE</t>
  </si>
  <si>
    <t>INCUMPLE</t>
  </si>
  <si>
    <t>CONCEPTO</t>
  </si>
  <si>
    <t>PAX. SALIDOS</t>
  </si>
  <si>
    <t>VALOR TOTAL</t>
  </si>
  <si>
    <t xml:space="preserve">VALOR TASA (M/CTE) </t>
  </si>
  <si>
    <t>VARIACION EN PESOS MES ANTERIOR</t>
  </si>
  <si>
    <t>Variación porcentual mes anterior</t>
  </si>
  <si>
    <r>
      <t xml:space="preserve">Ingresos Generados Pax </t>
    </r>
    <r>
      <rPr>
        <b/>
        <sz val="13"/>
        <color theme="1"/>
        <rFont val="Calibri"/>
        <family val="2"/>
        <scheme val="minor"/>
      </rPr>
      <t>NACIONALES</t>
    </r>
  </si>
  <si>
    <t xml:space="preserve">VALOR TASA (USD) </t>
  </si>
  <si>
    <r>
      <t>Ingresos Generados Pax</t>
    </r>
    <r>
      <rPr>
        <sz val="13"/>
        <color theme="1"/>
        <rFont val="Calibri"/>
        <family val="2"/>
        <scheme val="minor"/>
      </rPr>
      <t xml:space="preserve"> </t>
    </r>
    <r>
      <rPr>
        <b/>
        <sz val="13"/>
        <color theme="1"/>
        <rFont val="Calibri"/>
        <family val="2"/>
        <scheme val="minor"/>
      </rPr>
      <t>INTERNACIONALES</t>
    </r>
  </si>
  <si>
    <t>No. Pax</t>
  </si>
  <si>
    <t>MONTO</t>
  </si>
  <si>
    <t>Variación en Pesos</t>
  </si>
  <si>
    <t>Porcentual</t>
  </si>
  <si>
    <t>Monto Tasa Nacional en Pesos</t>
  </si>
  <si>
    <t>Monto Tasa Internacional en Pesos</t>
  </si>
  <si>
    <t>DEPRISA</t>
  </si>
  <si>
    <t>TOTAL EN KILOS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</si>
  <si>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</si>
  <si>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</si>
  <si>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</si>
  <si>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</si>
  <si>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</si>
  <si>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</si>
  <si>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</si>
  <si>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</si>
  <si>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</si>
  <si>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</si>
  <si>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</si>
  <si>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</si>
  <si>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</si>
  <si>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Referencia en Kilogramos</t>
  </si>
  <si>
    <t>OTROS</t>
  </si>
  <si>
    <t>NACIONALES E INTERNACIONALES</t>
  </si>
  <si>
    <t>-</t>
  </si>
  <si>
    <t xml:space="preserve">TOTAL </t>
  </si>
  <si>
    <t>CLIC</t>
  </si>
  <si>
    <t>WINGO</t>
  </si>
  <si>
    <t>MOVIMIENTO DE CARGA DOMESTICO COLOMBIA</t>
  </si>
  <si>
    <t xml:space="preserve"> MOVIMIENTO DE CARGA DOMESTICO COLOMBIA</t>
  </si>
  <si>
    <t>JETSMART</t>
  </si>
  <si>
    <t>AVIACIÓN GENERAL</t>
  </si>
  <si>
    <t>SANTA MARTA</t>
  </si>
  <si>
    <t>PALMIRA</t>
  </si>
  <si>
    <t>SKCL</t>
  </si>
  <si>
    <t>AVIACIÓN ESTATAL</t>
  </si>
  <si>
    <t>COMPARATIVO OPERACIÓN ANUAL POR DESTINO Y PROCEDENCIA 2016-2025</t>
  </si>
  <si>
    <t>% DE CREC. 2024 VS 2025</t>
  </si>
  <si>
    <t>Kilos Carga CO PEI 2025</t>
  </si>
  <si>
    <t>TOTAL KILOS 2025</t>
  </si>
  <si>
    <t>VALOR EN TASAS AEROPORTUARIAS PASAJEROS SALIDOS NACIONALES 2025</t>
  </si>
  <si>
    <t>VALOR EN TASAS AEROPORTUARIAS PASAJEROS SALIDOS INTERNACIONALES 2025</t>
  </si>
  <si>
    <t>JEC</t>
  </si>
  <si>
    <t>Aero Inter Alfonso Bonilla Aragón</t>
  </si>
  <si>
    <t>ARMENIA</t>
  </si>
  <si>
    <t>Aero Inter El Edén</t>
  </si>
  <si>
    <t>SKAR</t>
  </si>
  <si>
    <t>Aero Inter Simón Bolivar</t>
  </si>
  <si>
    <t xml:space="preserve">AVIACIÓN ESTATAL </t>
  </si>
  <si>
    <t>GENERAL</t>
  </si>
  <si>
    <t>ESTATAL</t>
  </si>
  <si>
    <t>TOTAL AEROLINEAS COMERCIALES</t>
  </si>
  <si>
    <t>TOTAL OTRAS AEROLINEAS</t>
  </si>
  <si>
    <t>SKBQ</t>
  </si>
  <si>
    <t>VOLUMEN DE CARGA PRIMER SEMESTRE AÑO 2025         ( ENERO - JUNIO)</t>
  </si>
  <si>
    <t>TOTAL PRIMER SEMESTRE AÑO 2025</t>
  </si>
  <si>
    <t>SKPE</t>
  </si>
  <si>
    <t>SKNV</t>
  </si>
  <si>
    <t>KJFK</t>
  </si>
  <si>
    <t>Aero Benito Salas</t>
  </si>
  <si>
    <t>NEIVA</t>
  </si>
  <si>
    <t>Aero Inter Matecaña</t>
  </si>
  <si>
    <t>PEREIRA</t>
  </si>
  <si>
    <t>Aero Inter John F. Kenmedy</t>
  </si>
  <si>
    <t>NEW YORK</t>
  </si>
  <si>
    <t>SKIB</t>
  </si>
  <si>
    <t xml:space="preserve">LATAM </t>
  </si>
  <si>
    <t>9.85%</t>
  </si>
  <si>
    <t>AVIACION ESTATAL</t>
  </si>
  <si>
    <t>VILLAVICENCIO</t>
  </si>
  <si>
    <t>SKVV</t>
  </si>
  <si>
    <t>SKPP</t>
  </si>
  <si>
    <t xml:space="preserve">BARRANQUILLA </t>
  </si>
  <si>
    <t>Aero Inter Ernesto Cortissoz</t>
  </si>
  <si>
    <t>Aero Vanguardia</t>
  </si>
  <si>
    <t xml:space="preserve">Aero Guillermo León Valencia </t>
  </si>
  <si>
    <t>CAUCA</t>
  </si>
  <si>
    <t>Aero José Joaquín de Olmedo</t>
  </si>
  <si>
    <t>GUAYAQUIL</t>
  </si>
  <si>
    <t xml:space="preserve">SEGU </t>
  </si>
  <si>
    <t xml:space="preserve">PORCENTAJE </t>
  </si>
  <si>
    <t>TOTAL 2025</t>
  </si>
  <si>
    <t>SKBG</t>
  </si>
  <si>
    <t>Aeropuerto Palonegro</t>
  </si>
  <si>
    <t>Aeropuerto Perales</t>
  </si>
  <si>
    <t>BUCARAMANGA</t>
  </si>
  <si>
    <t>IBAGUE</t>
  </si>
  <si>
    <t>SVMZ</t>
  </si>
  <si>
    <t>SKUR</t>
  </si>
  <si>
    <t>SKEJ</t>
  </si>
  <si>
    <t>Aeropuerto el eden</t>
  </si>
  <si>
    <t>MANIZALES</t>
  </si>
  <si>
    <t>Aeropuerto Santiago Perez</t>
  </si>
  <si>
    <t>ARAUCA</t>
  </si>
  <si>
    <t>Aeropuerto yariguíes</t>
  </si>
  <si>
    <t>BARRANCABERMEJA</t>
  </si>
  <si>
    <t>SKVP</t>
  </si>
  <si>
    <t>VALLEDUPAR</t>
  </si>
  <si>
    <t>Aeropuerto Alfonso Lopez</t>
  </si>
  <si>
    <t>VOLUMEN DE CARGA NOVIEMBRE 2025</t>
  </si>
  <si>
    <r>
      <t>MOVIMIENTO DE PASAJEROS</t>
    </r>
    <r>
      <rPr>
        <b/>
        <u/>
        <sz val="11"/>
        <rFont val="Arial"/>
        <family val="2"/>
      </rPr>
      <t xml:space="preserve"> SALIDOS </t>
    </r>
    <r>
      <rPr>
        <b/>
        <sz val="11"/>
        <rFont val="Arial"/>
        <family val="2"/>
      </rPr>
      <t>POR AEROLINEA NOVIEMBRE 2025</t>
    </r>
  </si>
  <si>
    <r>
      <t xml:space="preserve">MOVIMIENTO DE PASAJEROS NACIONALES E INTERNACIONALES  </t>
    </r>
    <r>
      <rPr>
        <b/>
        <u/>
        <sz val="11"/>
        <color theme="0"/>
        <rFont val="Arial"/>
        <family val="2"/>
      </rPr>
      <t>POR PROCEDENCIA</t>
    </r>
    <r>
      <rPr>
        <b/>
        <sz val="11"/>
        <color theme="0"/>
        <rFont val="Arial"/>
        <family val="2"/>
      </rPr>
      <t xml:space="preserve"> NOVIEMBRE 2025</t>
    </r>
  </si>
  <si>
    <t>COMPARATIVO OPERACIONES DESTINO Y PROCEDENCIA  NOVIEMBRE 2024 VS NOVIEMBRE 2025</t>
  </si>
  <si>
    <t>REPORTE VUELOS ATRASOS NOVIEMBRE 2025</t>
  </si>
  <si>
    <t>REPORTE VUELOS ATRASADOS NOVIEMBRE 2024</t>
  </si>
  <si>
    <t>REPORTE VUELOS ATRASADOS NOVIEMBRE 2025</t>
  </si>
  <si>
    <r>
      <t>MOVIMIENTO DE PASAJEROS</t>
    </r>
    <r>
      <rPr>
        <b/>
        <u/>
        <sz val="11"/>
        <rFont val="Arial"/>
        <family val="2"/>
      </rPr>
      <t xml:space="preserve"> LLEGADOS </t>
    </r>
    <r>
      <rPr>
        <b/>
        <sz val="11"/>
        <rFont val="Arial"/>
        <family val="2"/>
      </rPr>
      <t>POR AEROLINEA SALIDOS NOVIEMBRE 2025</t>
    </r>
  </si>
  <si>
    <t>MOVIMIENTO DE OPERACIONES POR AEROLINEA NOVIEMBRE 2025</t>
  </si>
  <si>
    <t>TOTAL OPERACIONES</t>
  </si>
  <si>
    <t>Aeropuerto Guaymaral</t>
  </si>
  <si>
    <t xml:space="preserve">BOGOTA </t>
  </si>
  <si>
    <t>SKSJ</t>
  </si>
  <si>
    <t>Aeropuerto Jorge Enrique González Torres</t>
  </si>
  <si>
    <t>GUAVIARE</t>
  </si>
  <si>
    <t xml:space="preserve">Aero Marcos A. Gelabert </t>
  </si>
  <si>
    <t>MPMG</t>
  </si>
  <si>
    <r>
      <t xml:space="preserve">MOVIMIENTO DE PASAJEROS NACIONALES E INTERNACIONALES  </t>
    </r>
    <r>
      <rPr>
        <b/>
        <u/>
        <sz val="11"/>
        <color theme="0"/>
        <rFont val="Arial"/>
        <family val="2"/>
      </rPr>
      <t xml:space="preserve">POR DESTINO </t>
    </r>
    <r>
      <rPr>
        <b/>
        <sz val="11"/>
        <color theme="0"/>
        <rFont val="Arial"/>
        <family val="2"/>
      </rPr>
      <t>NOVIEMBRE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</si>
</sst>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$&quot;\ #,##0;[Red]\-&quot;$&quot;\ #,##0"/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164" formatCode="&quot;$&quot;\ #,##0"/>
    <numFmt numFmtId="165" formatCode="&quot;$&quot;\ #,##0.00"/>
    <numFmt numFmtId="166" formatCode="_(&quot;$&quot;\ * #,##0.00_);_(&quot;$&quot;\ * \(#,##0.00\);_(&quot;$&quot;\ * &quot;-&quot;??_);_(@_)"/>
    <numFmt numFmtId="167" formatCode="0.0%"/>
  </numFmts>
  <fonts count="6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Arial"/>
      <family val="2"/>
    </font>
    <font>
      <b/>
      <u/>
      <sz val="11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1"/>
      <color theme="1"/>
      <name val="Arial"/>
      <family val="2"/>
    </font>
    <font>
      <b/>
      <sz val="12"/>
      <color theme="0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9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4"/>
      <color theme="0"/>
      <name val="Arial"/>
      <family val="2"/>
    </font>
    <font>
      <b/>
      <sz val="13"/>
      <color theme="1"/>
      <name val="Calibri"/>
      <family val="2"/>
      <scheme val="minor"/>
    </font>
    <font>
      <sz val="11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0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4"/>
      <color theme="1"/>
      <name val="Arial"/>
      <family val="2"/>
    </font>
    <font>
      <b/>
      <sz val="16"/>
      <color rgb="FFFFFFFF"/>
      <name val="Arial"/>
      <family val="2"/>
    </font>
    <font>
      <b/>
      <sz val="16"/>
      <color rgb="FF000000"/>
      <name val="Arial"/>
      <family val="2"/>
    </font>
    <font>
      <sz val="16"/>
      <color rgb="FF000000"/>
      <name val="Arial"/>
      <family val="2"/>
    </font>
    <font>
      <b/>
      <i/>
      <sz val="11"/>
      <color theme="1"/>
      <name val="Arial"/>
      <family val="2"/>
    </font>
    <font>
      <b/>
      <sz val="10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rgb="FFFFFFFF"/>
      <name val="Arial"/>
      <family val="2"/>
    </font>
    <font>
      <b/>
      <sz val="11"/>
      <color rgb="FFFFFFFF"/>
      <name val="Arial"/>
      <family val="2"/>
    </font>
    <font>
      <b/>
      <i/>
      <sz val="8"/>
      <color theme="1"/>
      <name val="Arial"/>
      <family val="2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Arial"/>
      <family val="2"/>
    </font>
    <font>
      <b/>
      <sz val="13"/>
      <color theme="1"/>
      <name val="Arial"/>
      <family val="2"/>
    </font>
    <font>
      <b/>
      <sz val="10"/>
      <name val="Calibri"/>
      <family val="2"/>
      <scheme val="minor"/>
    </font>
    <font>
      <b/>
      <sz val="16"/>
      <color rgb="FFFF0000"/>
      <name val="Arial"/>
      <family val="2"/>
    </font>
    <font>
      <b/>
      <sz val="11"/>
      <color rgb="FFFF0000"/>
      <name val="Arial"/>
      <family val="2"/>
    </font>
    <font>
      <b/>
      <sz val="10"/>
      <color rgb="FFC00000"/>
      <name val="Calibri"/>
      <family val="2"/>
      <scheme val="minor"/>
    </font>
    <font>
      <sz val="10"/>
      <color rgb="FF000000"/>
      <name val="Verdana"/>
      <family val="2"/>
    </font>
    <font>
      <b/>
      <u/>
      <sz val="11"/>
      <color theme="0"/>
      <name val="Arial"/>
      <family val="2"/>
    </font>
    <font>
      <b/>
      <sz val="11"/>
      <name val="Arial 16"/>
    </font>
    <font>
      <sz val="11"/>
      <color theme="9"/>
      <name val="Calibri"/>
      <family val="2"/>
      <scheme val="minor"/>
    </font>
    <font>
      <b/>
      <sz val="11"/>
      <color theme="9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2F549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indexed="64"/>
      </patternFill>
    </fill>
  </fills>
  <borders count="7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</borders>
  <cellStyleXfs count="18">
    <xf numFmtId="0" fontId="0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57" fillId="30" borderId="0">
      <alignment horizontal="center" vertical="center"/>
    </xf>
    <xf numFmtId="0" fontId="57" fillId="30" borderId="0"/>
    <xf numFmtId="0" fontId="1" fillId="0" borderId="0"/>
  </cellStyleXfs>
  <cellXfs count="477">
    <xf numFmtId="0" fontId="0" fillId="0" borderId="0" xfId="0"/>
    <xf numFmtId="0" fontId="6" fillId="3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top" wrapText="1"/>
    </xf>
    <xf numFmtId="0" fontId="6" fillId="7" borderId="5" xfId="0" applyFont="1" applyFill="1" applyBorder="1" applyAlignment="1">
      <alignment horizontal="left" vertical="top" wrapText="1"/>
    </xf>
    <xf numFmtId="3" fontId="6" fillId="7" borderId="6" xfId="2" applyNumberFormat="1" applyFont="1" applyFill="1" applyBorder="1" applyAlignment="1">
      <alignment horizontal="center" vertical="top" wrapText="1"/>
    </xf>
    <xf numFmtId="3" fontId="6" fillId="7" borderId="7" xfId="2" applyNumberFormat="1" applyFont="1" applyFill="1" applyBorder="1" applyAlignment="1">
      <alignment horizontal="center" vertical="top" wrapText="1"/>
    </xf>
    <xf numFmtId="1" fontId="0" fillId="0" borderId="0" xfId="0" applyNumberFormat="1"/>
    <xf numFmtId="0" fontId="10" fillId="6" borderId="0" xfId="0" applyFont="1" applyFill="1" applyAlignment="1">
      <alignment horizontal="left" vertical="center" wrapText="1"/>
    </xf>
    <xf numFmtId="0" fontId="10" fillId="6" borderId="0" xfId="0" applyFont="1" applyFill="1" applyAlignment="1">
      <alignment horizontal="left" vertical="center" wrapText="1" indent="1"/>
    </xf>
    <xf numFmtId="0" fontId="0" fillId="6" borderId="0" xfId="0" applyFill="1"/>
    <xf numFmtId="0" fontId="11" fillId="6" borderId="0" xfId="0" applyFont="1" applyFill="1" applyAlignment="1">
      <alignment horizontal="left" vertical="top" wrapText="1"/>
    </xf>
    <xf numFmtId="0" fontId="11" fillId="6" borderId="0" xfId="0" applyFont="1" applyFill="1" applyAlignment="1">
      <alignment horizontal="right" vertical="top" wrapText="1"/>
    </xf>
    <xf numFmtId="3" fontId="12" fillId="6" borderId="0" xfId="0" applyNumberFormat="1" applyFont="1" applyFill="1" applyAlignment="1">
      <alignment horizontal="right" vertical="top" shrinkToFit="1"/>
    </xf>
    <xf numFmtId="0" fontId="6" fillId="9" borderId="3" xfId="0" applyFont="1" applyFill="1" applyBorder="1" applyAlignment="1">
      <alignment horizontal="center" vertical="center" wrapText="1"/>
    </xf>
    <xf numFmtId="0" fontId="6" fillId="10" borderId="3" xfId="0" applyFont="1" applyFill="1" applyBorder="1" applyAlignment="1">
      <alignment horizontal="center" vertical="center" wrapText="1"/>
    </xf>
    <xf numFmtId="0" fontId="6" fillId="11" borderId="4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top" wrapText="1"/>
    </xf>
    <xf numFmtId="0" fontId="6" fillId="14" borderId="8" xfId="0" applyFont="1" applyFill="1" applyBorder="1" applyAlignment="1">
      <alignment horizontal="center" vertical="center" wrapText="1"/>
    </xf>
    <xf numFmtId="0" fontId="6" fillId="15" borderId="10" xfId="0" applyFont="1" applyFill="1" applyBorder="1" applyAlignment="1">
      <alignment horizontal="center" vertical="center" wrapText="1"/>
    </xf>
    <xf numFmtId="0" fontId="5" fillId="0" borderId="0" xfId="0" applyFont="1"/>
    <xf numFmtId="3" fontId="23" fillId="0" borderId="3" xfId="0" applyNumberFormat="1" applyFont="1" applyBorder="1"/>
    <xf numFmtId="0" fontId="24" fillId="18" borderId="5" xfId="0" applyFont="1" applyFill="1" applyBorder="1" applyAlignment="1">
      <alignment horizontal="center" vertical="center" wrapText="1"/>
    </xf>
    <xf numFmtId="0" fontId="24" fillId="18" borderId="6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/>
    </xf>
    <xf numFmtId="0" fontId="24" fillId="4" borderId="3" xfId="0" applyFont="1" applyFill="1" applyBorder="1" applyAlignment="1">
      <alignment horizontal="center" vertical="center"/>
    </xf>
    <xf numFmtId="0" fontId="24" fillId="4" borderId="3" xfId="0" applyFont="1" applyFill="1" applyBorder="1" applyAlignment="1">
      <alignment horizontal="center" vertical="center" wrapText="1"/>
    </xf>
    <xf numFmtId="49" fontId="24" fillId="4" borderId="3" xfId="0" applyNumberFormat="1" applyFont="1" applyFill="1" applyBorder="1" applyAlignment="1">
      <alignment horizontal="center" vertical="center" wrapText="1"/>
    </xf>
    <xf numFmtId="49" fontId="24" fillId="4" borderId="4" xfId="0" applyNumberFormat="1" applyFont="1" applyFill="1" applyBorder="1" applyAlignment="1">
      <alignment horizontal="center" vertical="center" wrapText="1"/>
    </xf>
    <xf numFmtId="17" fontId="0" fillId="0" borderId="2" xfId="0" applyNumberFormat="1" applyBorder="1"/>
    <xf numFmtId="3" fontId="0" fillId="0" borderId="3" xfId="0" applyNumberFormat="1" applyBorder="1" applyAlignment="1">
      <alignment horizontal="center"/>
    </xf>
    <xf numFmtId="164" fontId="0" fillId="0" borderId="3" xfId="0" applyNumberFormat="1" applyBorder="1"/>
    <xf numFmtId="41" fontId="0" fillId="0" borderId="3" xfId="1" applyFont="1" applyBorder="1"/>
    <xf numFmtId="6" fontId="30" fillId="0" borderId="3" xfId="1" applyNumberFormat="1" applyFont="1" applyBorder="1"/>
    <xf numFmtId="10" fontId="30" fillId="0" borderId="4" xfId="3" applyNumberFormat="1" applyFont="1" applyBorder="1"/>
    <xf numFmtId="3" fontId="0" fillId="0" borderId="6" xfId="0" applyNumberFormat="1" applyBorder="1" applyAlignment="1">
      <alignment horizontal="center"/>
    </xf>
    <xf numFmtId="41" fontId="0" fillId="0" borderId="6" xfId="1" applyFont="1" applyBorder="1"/>
    <xf numFmtId="6" fontId="30" fillId="0" borderId="6" xfId="1" applyNumberFormat="1" applyFont="1" applyBorder="1"/>
    <xf numFmtId="164" fontId="32" fillId="0" borderId="3" xfId="0" applyNumberFormat="1" applyFont="1" applyBorder="1"/>
    <xf numFmtId="10" fontId="32" fillId="0" borderId="4" xfId="3" applyNumberFormat="1" applyFont="1" applyBorder="1"/>
    <xf numFmtId="10" fontId="32" fillId="0" borderId="4" xfId="0" applyNumberFormat="1" applyFont="1" applyBorder="1"/>
    <xf numFmtId="0" fontId="32" fillId="0" borderId="7" xfId="0" applyFont="1" applyBorder="1"/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22" xfId="0" applyBorder="1" applyAlignment="1">
      <alignment horizontal="center"/>
    </xf>
    <xf numFmtId="3" fontId="0" fillId="0" borderId="0" xfId="0" applyNumberFormat="1"/>
    <xf numFmtId="0" fontId="6" fillId="3" borderId="8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24" fillId="18" borderId="3" xfId="0" applyFont="1" applyFill="1" applyBorder="1" applyAlignment="1">
      <alignment horizontal="center" vertical="center" wrapText="1"/>
    </xf>
    <xf numFmtId="0" fontId="19" fillId="4" borderId="3" xfId="0" applyFont="1" applyFill="1" applyBorder="1" applyAlignment="1">
      <alignment horizontal="center" vertical="center" wrapText="1"/>
    </xf>
    <xf numFmtId="0" fontId="19" fillId="11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3" fontId="9" fillId="0" borderId="0" xfId="0" applyNumberFormat="1" applyFont="1" applyAlignment="1">
      <alignment horizontal="right" vertical="top" shrinkToFit="1"/>
    </xf>
    <xf numFmtId="0" fontId="11" fillId="6" borderId="25" xfId="0" applyFont="1" applyFill="1" applyBorder="1"/>
    <xf numFmtId="0" fontId="0" fillId="0" borderId="0" xfId="0" applyAlignment="1">
      <alignment horizontal="center" vertical="center"/>
    </xf>
    <xf numFmtId="3" fontId="18" fillId="0" borderId="0" xfId="0" applyNumberFormat="1" applyFont="1" applyAlignment="1">
      <alignment horizontal="center" vertical="center"/>
    </xf>
    <xf numFmtId="10" fontId="18" fillId="0" borderId="0" xfId="0" applyNumberFormat="1" applyFont="1" applyAlignment="1">
      <alignment horizontal="center" vertical="center"/>
    </xf>
    <xf numFmtId="0" fontId="14" fillId="6" borderId="25" xfId="0" applyFont="1" applyFill="1" applyBorder="1"/>
    <xf numFmtId="0" fontId="11" fillId="0" borderId="0" xfId="0" applyFont="1" applyAlignment="1">
      <alignment horizontal="left" vertical="top" wrapText="1"/>
    </xf>
    <xf numFmtId="1" fontId="12" fillId="0" borderId="0" xfId="0" applyNumberFormat="1" applyFont="1" applyAlignment="1">
      <alignment horizontal="right" vertical="top" shrinkToFit="1"/>
    </xf>
    <xf numFmtId="3" fontId="0" fillId="0" borderId="3" xfId="0" applyNumberFormat="1" applyBorder="1" applyAlignment="1">
      <alignment horizontal="center" vertical="center"/>
    </xf>
    <xf numFmtId="3" fontId="16" fillId="0" borderId="4" xfId="0" applyNumberFormat="1" applyFont="1" applyBorder="1" applyAlignment="1">
      <alignment horizontal="center" vertical="center" shrinkToFit="1"/>
    </xf>
    <xf numFmtId="41" fontId="6" fillId="6" borderId="3" xfId="1" applyFont="1" applyFill="1" applyBorder="1" applyAlignment="1">
      <alignment horizontal="center" vertical="center"/>
    </xf>
    <xf numFmtId="3" fontId="16" fillId="0" borderId="3" xfId="0" applyNumberFormat="1" applyFont="1" applyBorder="1" applyAlignment="1">
      <alignment horizontal="center" vertical="center" shrinkToFit="1"/>
    </xf>
    <xf numFmtId="3" fontId="17" fillId="0" borderId="4" xfId="0" applyNumberFormat="1" applyFont="1" applyBorder="1" applyAlignment="1">
      <alignment horizontal="center"/>
    </xf>
    <xf numFmtId="3" fontId="8" fillId="0" borderId="0" xfId="0" applyNumberFormat="1" applyFont="1" applyAlignment="1">
      <alignment horizontal="right" vertical="top" wrapText="1"/>
    </xf>
    <xf numFmtId="3" fontId="9" fillId="6" borderId="0" xfId="0" applyNumberFormat="1" applyFont="1" applyFill="1" applyAlignment="1">
      <alignment horizontal="right" vertical="top" shrinkToFit="1"/>
    </xf>
    <xf numFmtId="1" fontId="9" fillId="0" borderId="0" xfId="0" applyNumberFormat="1" applyFont="1" applyAlignment="1">
      <alignment horizontal="right" vertical="top" shrinkToFit="1"/>
    </xf>
    <xf numFmtId="1" fontId="9" fillId="6" borderId="0" xfId="0" applyNumberFormat="1" applyFont="1" applyFill="1" applyAlignment="1">
      <alignment horizontal="right" vertical="top" shrinkToFit="1"/>
    </xf>
    <xf numFmtId="1" fontId="9" fillId="0" borderId="3" xfId="0" applyNumberFormat="1" applyFont="1" applyBorder="1" applyAlignment="1">
      <alignment horizontal="center" vertical="top" shrinkToFit="1"/>
    </xf>
    <xf numFmtId="1" fontId="9" fillId="0" borderId="4" xfId="0" applyNumberFormat="1" applyFont="1" applyBorder="1" applyAlignment="1">
      <alignment horizontal="center" vertical="top" shrinkToFit="1"/>
    </xf>
    <xf numFmtId="41" fontId="6" fillId="6" borderId="4" xfId="1" applyFont="1" applyFill="1" applyBorder="1" applyAlignment="1">
      <alignment horizontal="center" vertical="center"/>
    </xf>
    <xf numFmtId="0" fontId="25" fillId="5" borderId="10" xfId="0" applyFont="1" applyFill="1" applyBorder="1" applyAlignment="1">
      <alignment horizontal="center" vertical="center" wrapText="1"/>
    </xf>
    <xf numFmtId="10" fontId="3" fillId="0" borderId="4" xfId="3" applyNumberFormat="1" applyFont="1" applyBorder="1"/>
    <xf numFmtId="164" fontId="3" fillId="6" borderId="3" xfId="1" applyNumberFormat="1" applyFont="1" applyFill="1" applyBorder="1"/>
    <xf numFmtId="41" fontId="6" fillId="6" borderId="0" xfId="1" applyFont="1" applyFill="1" applyBorder="1" applyAlignment="1">
      <alignment horizontal="center" vertical="center"/>
    </xf>
    <xf numFmtId="0" fontId="0" fillId="0" borderId="8" xfId="0" applyBorder="1"/>
    <xf numFmtId="0" fontId="0" fillId="0" borderId="2" xfId="0" applyBorder="1" applyAlignment="1">
      <alignment horizontal="center" vertical="center"/>
    </xf>
    <xf numFmtId="0" fontId="8" fillId="0" borderId="43" xfId="0" applyFont="1" applyBorder="1" applyAlignment="1">
      <alignment horizontal="left" vertical="top" wrapText="1"/>
    </xf>
    <xf numFmtId="0" fontId="28" fillId="5" borderId="3" xfId="0" applyFont="1" applyFill="1" applyBorder="1" applyAlignment="1">
      <alignment horizontal="center" vertical="center"/>
    </xf>
    <xf numFmtId="0" fontId="19" fillId="12" borderId="4" xfId="0" applyFont="1" applyFill="1" applyBorder="1" applyAlignment="1">
      <alignment horizontal="center" vertical="center"/>
    </xf>
    <xf numFmtId="0" fontId="37" fillId="0" borderId="3" xfId="0" applyFont="1" applyBorder="1" applyAlignment="1">
      <alignment horizontal="center" vertical="center"/>
    </xf>
    <xf numFmtId="0" fontId="27" fillId="16" borderId="2" xfId="0" applyFont="1" applyFill="1" applyBorder="1" applyAlignment="1">
      <alignment horizontal="center" vertical="center" wrapText="1"/>
    </xf>
    <xf numFmtId="0" fontId="2" fillId="8" borderId="43" xfId="0" applyFont="1" applyFill="1" applyBorder="1" applyAlignment="1">
      <alignment horizontal="center" vertical="center"/>
    </xf>
    <xf numFmtId="0" fontId="2" fillId="8" borderId="44" xfId="0" applyFont="1" applyFill="1" applyBorder="1" applyAlignment="1">
      <alignment horizontal="center" vertical="center"/>
    </xf>
    <xf numFmtId="3" fontId="8" fillId="0" borderId="3" xfId="0" applyNumberFormat="1" applyFont="1" applyBorder="1" applyAlignment="1">
      <alignment horizontal="center" vertical="center" wrapText="1"/>
    </xf>
    <xf numFmtId="0" fontId="33" fillId="23" borderId="9" xfId="0" applyFont="1" applyFill="1" applyBorder="1" applyAlignment="1">
      <alignment horizontal="center"/>
    </xf>
    <xf numFmtId="0" fontId="33" fillId="23" borderId="10" xfId="0" applyFont="1" applyFill="1" applyBorder="1" applyAlignment="1">
      <alignment horizontal="center"/>
    </xf>
    <xf numFmtId="0" fontId="32" fillId="26" borderId="2" xfId="0" applyFont="1" applyFill="1" applyBorder="1"/>
    <xf numFmtId="3" fontId="12" fillId="0" borderId="0" xfId="0" applyNumberFormat="1" applyFont="1" applyAlignment="1">
      <alignment horizontal="right" vertical="top" shrinkToFit="1"/>
    </xf>
    <xf numFmtId="1" fontId="6" fillId="0" borderId="0" xfId="0" applyNumberFormat="1" applyFont="1" applyAlignment="1">
      <alignment horizontal="center" vertical="center" wrapText="1"/>
    </xf>
    <xf numFmtId="0" fontId="38" fillId="21" borderId="21" xfId="0" applyFont="1" applyFill="1" applyBorder="1" applyAlignment="1">
      <alignment horizontal="center" vertical="center" wrapText="1"/>
    </xf>
    <xf numFmtId="0" fontId="38" fillId="21" borderId="18" xfId="0" applyFont="1" applyFill="1" applyBorder="1" applyAlignment="1">
      <alignment horizontal="center" vertical="center" wrapText="1"/>
    </xf>
    <xf numFmtId="0" fontId="39" fillId="22" borderId="21" xfId="0" applyFont="1" applyFill="1" applyBorder="1" applyAlignment="1">
      <alignment horizontal="center" vertical="center" wrapText="1"/>
    </xf>
    <xf numFmtId="3" fontId="39" fillId="22" borderId="18" xfId="0" applyNumberFormat="1" applyFont="1" applyFill="1" applyBorder="1" applyAlignment="1">
      <alignment horizontal="center" vertical="center" wrapText="1"/>
    </xf>
    <xf numFmtId="0" fontId="34" fillId="0" borderId="21" xfId="0" applyFont="1" applyBorder="1" applyAlignment="1">
      <alignment horizontal="justify" vertical="center" wrapText="1"/>
    </xf>
    <xf numFmtId="0" fontId="35" fillId="0" borderId="18" xfId="0" applyFont="1" applyBorder="1" applyAlignment="1">
      <alignment horizontal="center" vertical="center" wrapText="1"/>
    </xf>
    <xf numFmtId="3" fontId="40" fillId="0" borderId="18" xfId="0" applyNumberFormat="1" applyFont="1" applyBorder="1" applyAlignment="1">
      <alignment horizontal="center" vertical="center" wrapText="1"/>
    </xf>
    <xf numFmtId="0" fontId="20" fillId="28" borderId="43" xfId="0" applyFont="1" applyFill="1" applyBorder="1" applyAlignment="1">
      <alignment horizontal="left"/>
    </xf>
    <xf numFmtId="0" fontId="17" fillId="2" borderId="43" xfId="0" applyFont="1" applyFill="1" applyBorder="1" applyAlignment="1">
      <alignment horizontal="left"/>
    </xf>
    <xf numFmtId="0" fontId="20" fillId="28" borderId="46" xfId="0" applyFont="1" applyFill="1" applyBorder="1" applyAlignment="1">
      <alignment horizontal="left"/>
    </xf>
    <xf numFmtId="0" fontId="17" fillId="25" borderId="25" xfId="0" applyFont="1" applyFill="1" applyBorder="1" applyAlignment="1">
      <alignment horizontal="left"/>
    </xf>
    <xf numFmtId="3" fontId="17" fillId="0" borderId="2" xfId="0" applyNumberFormat="1" applyFont="1" applyBorder="1" applyAlignment="1">
      <alignment horizontal="center"/>
    </xf>
    <xf numFmtId="3" fontId="17" fillId="0" borderId="3" xfId="0" applyNumberFormat="1" applyFont="1" applyBorder="1" applyAlignment="1">
      <alignment horizontal="center"/>
    </xf>
    <xf numFmtId="0" fontId="20" fillId="27" borderId="25" xfId="0" applyFont="1" applyFill="1" applyBorder="1" applyAlignment="1">
      <alignment horizontal="center" wrapText="1"/>
    </xf>
    <xf numFmtId="0" fontId="20" fillId="27" borderId="2" xfId="0" applyFont="1" applyFill="1" applyBorder="1" applyAlignment="1">
      <alignment horizontal="center" vertical="center"/>
    </xf>
    <xf numFmtId="0" fontId="20" fillId="27" borderId="3" xfId="0" applyFont="1" applyFill="1" applyBorder="1" applyAlignment="1">
      <alignment horizontal="center" vertical="center"/>
    </xf>
    <xf numFmtId="0" fontId="20" fillId="27" borderId="4" xfId="0" applyFont="1" applyFill="1" applyBorder="1" applyAlignment="1">
      <alignment horizontal="center" vertical="center"/>
    </xf>
    <xf numFmtId="0" fontId="17" fillId="17" borderId="3" xfId="0" applyFont="1" applyFill="1" applyBorder="1" applyAlignment="1">
      <alignment horizontal="center"/>
    </xf>
    <xf numFmtId="0" fontId="17" fillId="17" borderId="4" xfId="0" applyFont="1" applyFill="1" applyBorder="1" applyAlignment="1">
      <alignment horizontal="center"/>
    </xf>
    <xf numFmtId="0" fontId="17" fillId="25" borderId="2" xfId="0" applyFont="1" applyFill="1" applyBorder="1" applyAlignment="1">
      <alignment horizontal="left"/>
    </xf>
    <xf numFmtId="0" fontId="17" fillId="17" borderId="2" xfId="0" applyFont="1" applyFill="1" applyBorder="1" applyAlignment="1">
      <alignment horizontal="center" wrapText="1"/>
    </xf>
    <xf numFmtId="0" fontId="32" fillId="0" borderId="1" xfId="0" applyFont="1" applyBorder="1" applyAlignment="1">
      <alignment horizontal="center"/>
    </xf>
    <xf numFmtId="0" fontId="32" fillId="0" borderId="22" xfId="0" applyFont="1" applyBorder="1" applyAlignment="1">
      <alignment horizontal="center"/>
    </xf>
    <xf numFmtId="0" fontId="27" fillId="24" borderId="2" xfId="0" applyFont="1" applyFill="1" applyBorder="1" applyAlignment="1">
      <alignment horizontal="center"/>
    </xf>
    <xf numFmtId="0" fontId="27" fillId="24" borderId="3" xfId="0" applyFont="1" applyFill="1" applyBorder="1" applyAlignment="1">
      <alignment horizontal="center"/>
    </xf>
    <xf numFmtId="0" fontId="27" fillId="24" borderId="4" xfId="0" applyFont="1" applyFill="1" applyBorder="1" applyAlignment="1">
      <alignment horizontal="center"/>
    </xf>
    <xf numFmtId="0" fontId="26" fillId="25" borderId="25" xfId="0" applyFont="1" applyFill="1" applyBorder="1" applyAlignment="1">
      <alignment horizontal="left"/>
    </xf>
    <xf numFmtId="3" fontId="26" fillId="0" borderId="2" xfId="0" applyNumberFormat="1" applyFont="1" applyBorder="1" applyAlignment="1">
      <alignment horizontal="center"/>
    </xf>
    <xf numFmtId="3" fontId="26" fillId="0" borderId="3" xfId="0" applyNumberFormat="1" applyFont="1" applyBorder="1" applyAlignment="1">
      <alignment horizontal="center"/>
    </xf>
    <xf numFmtId="3" fontId="26" fillId="0" borderId="4" xfId="0" applyNumberFormat="1" applyFont="1" applyBorder="1" applyAlignment="1">
      <alignment horizontal="center"/>
    </xf>
    <xf numFmtId="0" fontId="26" fillId="25" borderId="46" xfId="0" applyFont="1" applyFill="1" applyBorder="1" applyAlignment="1">
      <alignment horizontal="left"/>
    </xf>
    <xf numFmtId="0" fontId="27" fillId="24" borderId="25" xfId="0" applyFont="1" applyFill="1" applyBorder="1" applyAlignment="1">
      <alignment horizontal="center" wrapText="1"/>
    </xf>
    <xf numFmtId="0" fontId="17" fillId="5" borderId="3" xfId="0" applyFont="1" applyFill="1" applyBorder="1" applyAlignment="1">
      <alignment horizontal="center"/>
    </xf>
    <xf numFmtId="0" fontId="17" fillId="5" borderId="4" xfId="0" applyFont="1" applyFill="1" applyBorder="1" applyAlignment="1">
      <alignment horizontal="center"/>
    </xf>
    <xf numFmtId="0" fontId="17" fillId="5" borderId="2" xfId="0" applyFont="1" applyFill="1" applyBorder="1" applyAlignment="1">
      <alignment horizontal="center" wrapText="1"/>
    </xf>
    <xf numFmtId="0" fontId="26" fillId="15" borderId="2" xfId="0" applyFont="1" applyFill="1" applyBorder="1" applyAlignment="1">
      <alignment horizontal="center"/>
    </xf>
    <xf numFmtId="0" fontId="26" fillId="2" borderId="43" xfId="0" applyFont="1" applyFill="1" applyBorder="1" applyAlignment="1">
      <alignment horizontal="left"/>
    </xf>
    <xf numFmtId="0" fontId="28" fillId="10" borderId="43" xfId="0" applyFont="1" applyFill="1" applyBorder="1" applyAlignment="1">
      <alignment horizontal="center"/>
    </xf>
    <xf numFmtId="3" fontId="28" fillId="10" borderId="3" xfId="0" applyNumberFormat="1" applyFont="1" applyFill="1" applyBorder="1" applyAlignment="1">
      <alignment horizontal="center"/>
    </xf>
    <xf numFmtId="3" fontId="16" fillId="0" borderId="31" xfId="0" applyNumberFormat="1" applyFont="1" applyBorder="1" applyAlignment="1">
      <alignment horizontal="center" vertical="center" shrinkToFit="1"/>
    </xf>
    <xf numFmtId="0" fontId="8" fillId="0" borderId="25" xfId="0" applyFont="1" applyBorder="1"/>
    <xf numFmtId="3" fontId="8" fillId="0" borderId="2" xfId="0" applyNumberFormat="1" applyFont="1" applyBorder="1" applyAlignment="1">
      <alignment horizontal="center"/>
    </xf>
    <xf numFmtId="3" fontId="8" fillId="0" borderId="3" xfId="0" applyNumberFormat="1" applyFont="1" applyBorder="1" applyAlignment="1">
      <alignment horizontal="center"/>
    </xf>
    <xf numFmtId="3" fontId="8" fillId="0" borderId="24" xfId="0" applyNumberFormat="1" applyFont="1" applyBorder="1" applyAlignment="1">
      <alignment horizontal="center" vertical="center"/>
    </xf>
    <xf numFmtId="10" fontId="8" fillId="0" borderId="39" xfId="0" applyNumberFormat="1" applyFont="1" applyBorder="1" applyAlignment="1">
      <alignment horizontal="center" vertical="center"/>
    </xf>
    <xf numFmtId="3" fontId="6" fillId="12" borderId="3" xfId="0" applyNumberFormat="1" applyFont="1" applyFill="1" applyBorder="1" applyAlignment="1">
      <alignment horizontal="center" vertical="center"/>
    </xf>
    <xf numFmtId="0" fontId="22" fillId="0" borderId="28" xfId="0" applyFont="1" applyBorder="1" applyAlignment="1">
      <alignment horizontal="center"/>
    </xf>
    <xf numFmtId="3" fontId="36" fillId="17" borderId="34" xfId="0" applyNumberFormat="1" applyFont="1" applyFill="1" applyBorder="1" applyAlignment="1">
      <alignment horizontal="center"/>
    </xf>
    <xf numFmtId="3" fontId="36" fillId="17" borderId="35" xfId="0" applyNumberFormat="1" applyFont="1" applyFill="1" applyBorder="1" applyAlignment="1">
      <alignment horizontal="center"/>
    </xf>
    <xf numFmtId="3" fontId="36" fillId="17" borderId="36" xfId="0" applyNumberFormat="1" applyFont="1" applyFill="1" applyBorder="1" applyAlignment="1">
      <alignment horizontal="center"/>
    </xf>
    <xf numFmtId="0" fontId="4" fillId="12" borderId="4" xfId="0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3" fontId="13" fillId="0" borderId="0" xfId="0" applyNumberFormat="1" applyFont="1" applyAlignment="1">
      <alignment horizontal="center" vertical="center" wrapText="1"/>
    </xf>
    <xf numFmtId="10" fontId="17" fillId="0" borderId="0" xfId="3" applyNumberFormat="1" applyFont="1" applyAlignment="1">
      <alignment horizontal="justify" vertical="center" wrapText="1"/>
    </xf>
    <xf numFmtId="3" fontId="14" fillId="0" borderId="0" xfId="0" applyNumberFormat="1" applyFont="1" applyAlignment="1">
      <alignment horizontal="center" vertical="center" wrapText="1"/>
    </xf>
    <xf numFmtId="0" fontId="41" fillId="0" borderId="5" xfId="0" applyFont="1" applyBorder="1" applyAlignment="1">
      <alignment wrapText="1"/>
    </xf>
    <xf numFmtId="0" fontId="25" fillId="10" borderId="2" xfId="0" applyFont="1" applyFill="1" applyBorder="1" applyAlignment="1">
      <alignment horizontal="center" wrapText="1"/>
    </xf>
    <xf numFmtId="0" fontId="25" fillId="10" borderId="3" xfId="0" applyFont="1" applyFill="1" applyBorder="1" applyAlignment="1">
      <alignment horizontal="center"/>
    </xf>
    <xf numFmtId="0" fontId="25" fillId="10" borderId="4" xfId="0" applyFont="1" applyFill="1" applyBorder="1" applyAlignment="1">
      <alignment horizontal="center"/>
    </xf>
    <xf numFmtId="3" fontId="16" fillId="0" borderId="44" xfId="0" applyNumberFormat="1" applyFont="1" applyBorder="1" applyAlignment="1">
      <alignment horizontal="center" vertical="center" shrinkToFit="1"/>
    </xf>
    <xf numFmtId="3" fontId="8" fillId="0" borderId="4" xfId="0" applyNumberFormat="1" applyFont="1" applyBorder="1" applyAlignment="1">
      <alignment horizontal="center" vertical="center" wrapText="1"/>
    </xf>
    <xf numFmtId="0" fontId="8" fillId="0" borderId="31" xfId="0" applyFont="1" applyBorder="1" applyAlignment="1">
      <alignment horizontal="left" vertical="top" wrapText="1"/>
    </xf>
    <xf numFmtId="0" fontId="0" fillId="0" borderId="32" xfId="0" applyBorder="1"/>
    <xf numFmtId="164" fontId="0" fillId="0" borderId="6" xfId="0" applyNumberFormat="1" applyBorder="1"/>
    <xf numFmtId="164" fontId="4" fillId="0" borderId="0" xfId="1" applyNumberFormat="1" applyFont="1" applyBorder="1"/>
    <xf numFmtId="17" fontId="33" fillId="23" borderId="8" xfId="0" applyNumberFormat="1" applyFont="1" applyFill="1" applyBorder="1" applyAlignment="1">
      <alignment horizontal="center"/>
    </xf>
    <xf numFmtId="3" fontId="32" fillId="0" borderId="3" xfId="0" applyNumberFormat="1" applyFont="1" applyBorder="1" applyAlignment="1">
      <alignment horizontal="center" vertical="center"/>
    </xf>
    <xf numFmtId="165" fontId="32" fillId="0" borderId="3" xfId="0" applyNumberFormat="1" applyFont="1" applyBorder="1" applyAlignment="1">
      <alignment horizontal="center" vertical="center"/>
    </xf>
    <xf numFmtId="0" fontId="32" fillId="26" borderId="5" xfId="0" applyFont="1" applyFill="1" applyBorder="1"/>
    <xf numFmtId="3" fontId="44" fillId="0" borderId="6" xfId="0" applyNumberFormat="1" applyFont="1" applyBorder="1" applyAlignment="1">
      <alignment horizontal="center" vertical="center"/>
    </xf>
    <xf numFmtId="165" fontId="44" fillId="0" borderId="6" xfId="0" applyNumberFormat="1" applyFont="1" applyBorder="1" applyAlignment="1">
      <alignment horizontal="center" vertical="center"/>
    </xf>
    <xf numFmtId="164" fontId="44" fillId="0" borderId="6" xfId="0" applyNumberFormat="1" applyFont="1" applyBorder="1" applyAlignment="1">
      <alignment horizontal="center" vertical="center"/>
    </xf>
    <xf numFmtId="164" fontId="43" fillId="0" borderId="3" xfId="0" applyNumberFormat="1" applyFont="1" applyBorder="1"/>
    <xf numFmtId="10" fontId="43" fillId="0" borderId="4" xfId="3" applyNumberFormat="1" applyFont="1" applyBorder="1"/>
    <xf numFmtId="10" fontId="43" fillId="0" borderId="4" xfId="0" applyNumberFormat="1" applyFont="1" applyBorder="1"/>
    <xf numFmtId="164" fontId="48" fillId="0" borderId="6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1" fontId="9" fillId="0" borderId="0" xfId="0" applyNumberFormat="1" applyFont="1" applyAlignment="1">
      <alignment horizontal="center" vertical="top" shrinkToFit="1"/>
    </xf>
    <xf numFmtId="10" fontId="1" fillId="0" borderId="4" xfId="3" applyNumberFormat="1" applyFont="1" applyBorder="1"/>
    <xf numFmtId="0" fontId="18" fillId="12" borderId="4" xfId="0" applyFont="1" applyFill="1" applyBorder="1" applyAlignment="1">
      <alignment horizontal="center" vertical="center"/>
    </xf>
    <xf numFmtId="0" fontId="25" fillId="14" borderId="8" xfId="0" applyFont="1" applyFill="1" applyBorder="1" applyAlignment="1">
      <alignment horizontal="center" vertical="center" wrapText="1"/>
    </xf>
    <xf numFmtId="0" fontId="26" fillId="5" borderId="9" xfId="0" applyFont="1" applyFill="1" applyBorder="1" applyAlignment="1">
      <alignment horizontal="center" vertical="center" wrapText="1"/>
    </xf>
    <xf numFmtId="0" fontId="26" fillId="12" borderId="10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41" fontId="37" fillId="0" borderId="0" xfId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40" xfId="0" applyFont="1" applyBorder="1" applyAlignment="1">
      <alignment vertical="center"/>
    </xf>
    <xf numFmtId="0" fontId="4" fillId="0" borderId="50" xfId="0" applyFont="1" applyBorder="1" applyAlignment="1">
      <alignment vertical="center"/>
    </xf>
    <xf numFmtId="0" fontId="4" fillId="0" borderId="52" xfId="0" applyFont="1" applyBorder="1" applyAlignment="1">
      <alignment vertical="center"/>
    </xf>
    <xf numFmtId="0" fontId="28" fillId="5" borderId="6" xfId="0" applyFont="1" applyFill="1" applyBorder="1" applyAlignment="1">
      <alignment horizontal="center" vertical="center"/>
    </xf>
    <xf numFmtId="0" fontId="19" fillId="12" borderId="7" xfId="0" applyFont="1" applyFill="1" applyBorder="1" applyAlignment="1">
      <alignment horizontal="center" vertical="center"/>
    </xf>
    <xf numFmtId="3" fontId="23" fillId="0" borderId="0" xfId="0" applyNumberFormat="1" applyFont="1"/>
    <xf numFmtId="164" fontId="49" fillId="0" borderId="3" xfId="0" applyNumberFormat="1" applyFont="1" applyBorder="1"/>
    <xf numFmtId="10" fontId="49" fillId="0" borderId="4" xfId="3" applyNumberFormat="1" applyFont="1" applyBorder="1"/>
    <xf numFmtId="0" fontId="4" fillId="0" borderId="2" xfId="0" applyFont="1" applyBorder="1"/>
    <xf numFmtId="3" fontId="4" fillId="0" borderId="4" xfId="0" applyNumberFormat="1" applyFont="1" applyBorder="1"/>
    <xf numFmtId="0" fontId="4" fillId="12" borderId="5" xfId="0" applyFont="1" applyFill="1" applyBorder="1" applyAlignment="1">
      <alignment horizontal="center" vertical="center" wrapText="1"/>
    </xf>
    <xf numFmtId="3" fontId="4" fillId="12" borderId="7" xfId="0" applyNumberFormat="1" applyFont="1" applyFill="1" applyBorder="1"/>
    <xf numFmtId="3" fontId="16" fillId="12" borderId="53" xfId="0" applyNumberFormat="1" applyFont="1" applyFill="1" applyBorder="1" applyAlignment="1">
      <alignment horizontal="center" vertical="top" shrinkToFit="1"/>
    </xf>
    <xf numFmtId="0" fontId="26" fillId="12" borderId="24" xfId="0" applyFont="1" applyFill="1" applyBorder="1" applyAlignment="1">
      <alignment horizontal="center" vertical="center" wrapText="1"/>
    </xf>
    <xf numFmtId="1" fontId="51" fillId="0" borderId="0" xfId="0" applyNumberFormat="1" applyFont="1" applyAlignment="1">
      <alignment vertical="top" shrinkToFit="1"/>
    </xf>
    <xf numFmtId="3" fontId="9" fillId="0" borderId="3" xfId="0" applyNumberFormat="1" applyFont="1" applyBorder="1" applyAlignment="1">
      <alignment horizontal="center" vertical="center" shrinkToFit="1"/>
    </xf>
    <xf numFmtId="0" fontId="6" fillId="9" borderId="8" xfId="0" applyFont="1" applyFill="1" applyBorder="1" applyAlignment="1">
      <alignment horizontal="center" vertical="center" wrapText="1"/>
    </xf>
    <xf numFmtId="3" fontId="8" fillId="0" borderId="7" xfId="0" applyNumberFormat="1" applyFont="1" applyBorder="1" applyAlignment="1">
      <alignment horizontal="center" vertical="center" wrapText="1"/>
    </xf>
    <xf numFmtId="165" fontId="44" fillId="0" borderId="3" xfId="0" applyNumberFormat="1" applyFont="1" applyBorder="1" applyAlignment="1">
      <alignment horizontal="center" vertical="center"/>
    </xf>
    <xf numFmtId="3" fontId="23" fillId="0" borderId="23" xfId="0" applyNumberFormat="1" applyFont="1" applyBorder="1"/>
    <xf numFmtId="0" fontId="22" fillId="17" borderId="34" xfId="0" applyFont="1" applyFill="1" applyBorder="1" applyAlignment="1">
      <alignment horizontal="center" vertical="center"/>
    </xf>
    <xf numFmtId="0" fontId="22" fillId="17" borderId="35" xfId="0" applyFont="1" applyFill="1" applyBorder="1" applyAlignment="1">
      <alignment horizontal="center" vertical="center"/>
    </xf>
    <xf numFmtId="0" fontId="22" fillId="17" borderId="36" xfId="0" applyFont="1" applyFill="1" applyBorder="1" applyAlignment="1">
      <alignment horizontal="center" vertical="center"/>
    </xf>
    <xf numFmtId="3" fontId="23" fillId="0" borderId="59" xfId="0" applyNumberFormat="1" applyFont="1" applyBorder="1"/>
    <xf numFmtId="3" fontId="23" fillId="0" borderId="45" xfId="0" applyNumberFormat="1" applyFont="1" applyBorder="1"/>
    <xf numFmtId="0" fontId="23" fillId="13" borderId="54" xfId="0" applyFont="1" applyFill="1" applyBorder="1"/>
    <xf numFmtId="0" fontId="23" fillId="13" borderId="60" xfId="0" applyFont="1" applyFill="1" applyBorder="1"/>
    <xf numFmtId="0" fontId="23" fillId="13" borderId="61" xfId="0" applyFont="1" applyFill="1" applyBorder="1"/>
    <xf numFmtId="3" fontId="23" fillId="0" borderId="62" xfId="0" applyNumberFormat="1" applyFont="1" applyBorder="1"/>
    <xf numFmtId="3" fontId="23" fillId="0" borderId="31" xfId="0" applyNumberFormat="1" applyFont="1" applyBorder="1"/>
    <xf numFmtId="0" fontId="22" fillId="12" borderId="53" xfId="0" applyFont="1" applyFill="1" applyBorder="1"/>
    <xf numFmtId="3" fontId="22" fillId="12" borderId="63" xfId="0" applyNumberFormat="1" applyFont="1" applyFill="1" applyBorder="1"/>
    <xf numFmtId="3" fontId="22" fillId="12" borderId="35" xfId="0" applyNumberFormat="1" applyFont="1" applyFill="1" applyBorder="1"/>
    <xf numFmtId="0" fontId="15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32" fillId="0" borderId="0" xfId="0" applyFont="1"/>
    <xf numFmtId="164" fontId="49" fillId="0" borderId="0" xfId="0" applyNumberFormat="1" applyFont="1" applyAlignment="1">
      <alignment horizontal="center"/>
    </xf>
    <xf numFmtId="10" fontId="49" fillId="0" borderId="0" xfId="3" applyNumberFormat="1" applyFont="1" applyFill="1" applyBorder="1" applyAlignment="1">
      <alignment horizontal="center"/>
    </xf>
    <xf numFmtId="3" fontId="4" fillId="0" borderId="0" xfId="0" applyNumberFormat="1" applyFont="1" applyAlignment="1">
      <alignment horizontal="center"/>
    </xf>
    <xf numFmtId="42" fontId="4" fillId="0" borderId="0" xfId="12" applyFont="1" applyFill="1" applyBorder="1" applyAlignment="1">
      <alignment horizontal="center"/>
    </xf>
    <xf numFmtId="42" fontId="50" fillId="0" borderId="0" xfId="12" applyFont="1" applyFill="1" applyBorder="1" applyAlignment="1">
      <alignment horizontal="center"/>
    </xf>
    <xf numFmtId="3" fontId="50" fillId="0" borderId="0" xfId="0" applyNumberFormat="1" applyFont="1" applyAlignment="1">
      <alignment horizontal="center"/>
    </xf>
    <xf numFmtId="3" fontId="49" fillId="0" borderId="0" xfId="0" applyNumberFormat="1" applyFont="1" applyAlignment="1">
      <alignment horizontal="center"/>
    </xf>
    <xf numFmtId="9" fontId="51" fillId="0" borderId="0" xfId="3" applyFont="1" applyAlignment="1">
      <alignment vertical="top" shrinkToFit="1"/>
    </xf>
    <xf numFmtId="10" fontId="21" fillId="0" borderId="39" xfId="0" applyNumberFormat="1" applyFont="1" applyBorder="1" applyAlignment="1">
      <alignment horizontal="center" vertical="center"/>
    </xf>
    <xf numFmtId="0" fontId="6" fillId="12" borderId="25" xfId="0" applyFont="1" applyFill="1" applyBorder="1" applyAlignment="1">
      <alignment horizontal="center" vertical="center"/>
    </xf>
    <xf numFmtId="3" fontId="6" fillId="12" borderId="24" xfId="0" applyNumberFormat="1" applyFont="1" applyFill="1" applyBorder="1" applyAlignment="1">
      <alignment horizontal="center" vertical="center"/>
    </xf>
    <xf numFmtId="0" fontId="25" fillId="14" borderId="2" xfId="0" applyFont="1" applyFill="1" applyBorder="1" applyAlignment="1">
      <alignment horizontal="center" vertical="center" wrapText="1"/>
    </xf>
    <xf numFmtId="0" fontId="26" fillId="12" borderId="4" xfId="0" applyFont="1" applyFill="1" applyBorder="1" applyAlignment="1">
      <alignment horizontal="center" vertical="center" wrapText="1"/>
    </xf>
    <xf numFmtId="0" fontId="18" fillId="14" borderId="2" xfId="0" applyFont="1" applyFill="1" applyBorder="1" applyAlignment="1">
      <alignment horizontal="left" vertical="top"/>
    </xf>
    <xf numFmtId="0" fontId="27" fillId="16" borderId="43" xfId="0" applyFont="1" applyFill="1" applyBorder="1" applyAlignment="1">
      <alignment horizontal="center" vertical="center" wrapText="1"/>
    </xf>
    <xf numFmtId="0" fontId="37" fillId="0" borderId="31" xfId="0" applyFont="1" applyBorder="1" applyAlignment="1">
      <alignment horizontal="center" vertical="center"/>
    </xf>
    <xf numFmtId="10" fontId="19" fillId="12" borderId="35" xfId="0" applyNumberFormat="1" applyFont="1" applyFill="1" applyBorder="1" applyAlignment="1">
      <alignment horizontal="center" vertical="center"/>
    </xf>
    <xf numFmtId="41" fontId="37" fillId="12" borderId="36" xfId="1" applyFont="1" applyFill="1" applyBorder="1" applyAlignment="1">
      <alignment horizontal="center" vertical="center"/>
    </xf>
    <xf numFmtId="0" fontId="52" fillId="12" borderId="34" xfId="0" applyFont="1" applyFill="1" applyBorder="1" applyAlignment="1">
      <alignment horizontal="left" vertical="top" wrapText="1"/>
    </xf>
    <xf numFmtId="42" fontId="0" fillId="0" borderId="0" xfId="12" applyFont="1"/>
    <xf numFmtId="3" fontId="23" fillId="0" borderId="24" xfId="0" applyNumberFormat="1" applyFont="1" applyBorder="1"/>
    <xf numFmtId="3" fontId="22" fillId="12" borderId="36" xfId="0" applyNumberFormat="1" applyFont="1" applyFill="1" applyBorder="1"/>
    <xf numFmtId="0" fontId="43" fillId="0" borderId="7" xfId="0" applyFont="1" applyBorder="1"/>
    <xf numFmtId="10" fontId="4" fillId="0" borderId="0" xfId="3" applyNumberFormat="1" applyFont="1"/>
    <xf numFmtId="0" fontId="44" fillId="12" borderId="5" xfId="0" applyFont="1" applyFill="1" applyBorder="1" applyAlignment="1">
      <alignment horizontal="center" vertical="center" wrapText="1"/>
    </xf>
    <xf numFmtId="0" fontId="6" fillId="7" borderId="34" xfId="0" applyFont="1" applyFill="1" applyBorder="1" applyAlignment="1">
      <alignment horizontal="left" vertical="top" wrapText="1"/>
    </xf>
    <xf numFmtId="3" fontId="6" fillId="7" borderId="36" xfId="2" applyNumberFormat="1" applyFont="1" applyFill="1" applyBorder="1" applyAlignment="1">
      <alignment horizontal="center" vertical="top" wrapText="1"/>
    </xf>
    <xf numFmtId="10" fontId="51" fillId="0" borderId="39" xfId="0" applyNumberFormat="1" applyFont="1" applyBorder="1" applyAlignment="1">
      <alignment horizontal="center" vertical="center"/>
    </xf>
    <xf numFmtId="0" fontId="25" fillId="14" borderId="34" xfId="0" applyFont="1" applyFill="1" applyBorder="1" applyAlignment="1">
      <alignment horizontal="center" vertical="center" wrapText="1"/>
    </xf>
    <xf numFmtId="3" fontId="35" fillId="0" borderId="16" xfId="0" applyNumberFormat="1" applyFont="1" applyBorder="1" applyAlignment="1">
      <alignment horizontal="center" vertical="center" wrapText="1"/>
    </xf>
    <xf numFmtId="10" fontId="49" fillId="0" borderId="4" xfId="0" applyNumberFormat="1" applyFont="1" applyBorder="1"/>
    <xf numFmtId="164" fontId="53" fillId="0" borderId="6" xfId="0" applyNumberFormat="1" applyFont="1" applyBorder="1" applyAlignment="1">
      <alignment horizontal="center" vertical="center"/>
    </xf>
    <xf numFmtId="3" fontId="6" fillId="29" borderId="51" xfId="2" applyNumberFormat="1" applyFont="1" applyFill="1" applyBorder="1" applyAlignment="1">
      <alignment horizontal="center" vertical="top" wrapText="1"/>
    </xf>
    <xf numFmtId="3" fontId="6" fillId="29" borderId="56" xfId="2" applyNumberFormat="1" applyFont="1" applyFill="1" applyBorder="1" applyAlignment="1">
      <alignment horizontal="center" vertical="top" wrapText="1"/>
    </xf>
    <xf numFmtId="0" fontId="8" fillId="15" borderId="8" xfId="0" applyFont="1" applyFill="1" applyBorder="1" applyAlignment="1">
      <alignment horizontal="left" vertical="top" wrapText="1"/>
    </xf>
    <xf numFmtId="0" fontId="8" fillId="15" borderId="9" xfId="0" applyFont="1" applyFill="1" applyBorder="1" applyAlignment="1">
      <alignment horizontal="left" vertical="top" wrapText="1"/>
    </xf>
    <xf numFmtId="3" fontId="8" fillId="15" borderId="9" xfId="0" applyNumberFormat="1" applyFont="1" applyFill="1" applyBorder="1" applyAlignment="1">
      <alignment horizontal="center" vertical="center" wrapText="1"/>
    </xf>
    <xf numFmtId="3" fontId="8" fillId="15" borderId="10" xfId="0" applyNumberFormat="1" applyFont="1" applyFill="1" applyBorder="1" applyAlignment="1">
      <alignment horizontal="center" vertical="center" wrapText="1"/>
    </xf>
    <xf numFmtId="0" fontId="8" fillId="15" borderId="5" xfId="0" applyFont="1" applyFill="1" applyBorder="1" applyAlignment="1">
      <alignment horizontal="left" vertical="top" wrapText="1"/>
    </xf>
    <xf numFmtId="0" fontId="8" fillId="15" borderId="6" xfId="0" applyFont="1" applyFill="1" applyBorder="1" applyAlignment="1">
      <alignment horizontal="left" vertical="top" wrapText="1"/>
    </xf>
    <xf numFmtId="3" fontId="8" fillId="15" borderId="6" xfId="0" applyNumberFormat="1" applyFont="1" applyFill="1" applyBorder="1" applyAlignment="1">
      <alignment horizontal="center" vertical="center" wrapText="1"/>
    </xf>
    <xf numFmtId="3" fontId="8" fillId="15" borderId="7" xfId="0" applyNumberFormat="1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3" fontId="8" fillId="0" borderId="9" xfId="0" applyNumberFormat="1" applyFont="1" applyBorder="1" applyAlignment="1">
      <alignment horizontal="center" vertical="center" wrapText="1"/>
    </xf>
    <xf numFmtId="3" fontId="8" fillId="0" borderId="10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top" wrapText="1"/>
    </xf>
    <xf numFmtId="3" fontId="8" fillId="0" borderId="6" xfId="0" applyNumberFormat="1" applyFont="1" applyBorder="1" applyAlignment="1">
      <alignment horizontal="center" vertical="center" wrapText="1"/>
    </xf>
    <xf numFmtId="10" fontId="0" fillId="0" borderId="0" xfId="3" applyNumberFormat="1" applyFont="1"/>
    <xf numFmtId="10" fontId="54" fillId="17" borderId="34" xfId="3" applyNumberFormat="1" applyFont="1" applyFill="1" applyBorder="1" applyAlignment="1">
      <alignment horizontal="center"/>
    </xf>
    <xf numFmtId="10" fontId="55" fillId="12" borderId="39" xfId="0" applyNumberFormat="1" applyFont="1" applyFill="1" applyBorder="1" applyAlignment="1">
      <alignment horizontal="center" vertical="center"/>
    </xf>
    <xf numFmtId="3" fontId="9" fillId="0" borderId="4" xfId="0" applyNumberFormat="1" applyFont="1" applyBorder="1" applyAlignment="1">
      <alignment horizontal="center" vertical="center" shrinkToFit="1"/>
    </xf>
    <xf numFmtId="164" fontId="56" fillId="0" borderId="6" xfId="0" applyNumberFormat="1" applyFont="1" applyBorder="1" applyAlignment="1">
      <alignment horizontal="center" vertical="center"/>
    </xf>
    <xf numFmtId="17" fontId="0" fillId="6" borderId="14" xfId="0" applyNumberFormat="1" applyFill="1" applyBorder="1"/>
    <xf numFmtId="0" fontId="4" fillId="0" borderId="57" xfId="0" applyFont="1" applyBorder="1" applyAlignment="1">
      <alignment horizontal="right" vertical="center"/>
    </xf>
    <xf numFmtId="3" fontId="4" fillId="0" borderId="33" xfId="0" applyNumberFormat="1" applyFont="1" applyBorder="1" applyAlignment="1">
      <alignment horizontal="center"/>
    </xf>
    <xf numFmtId="164" fontId="4" fillId="0" borderId="56" xfId="1" applyNumberFormat="1" applyFont="1" applyBorder="1"/>
    <xf numFmtId="17" fontId="0" fillId="0" borderId="5" xfId="0" applyNumberFormat="1" applyBorder="1"/>
    <xf numFmtId="10" fontId="3" fillId="0" borderId="7" xfId="3" applyNumberFormat="1" applyFont="1" applyBorder="1"/>
    <xf numFmtId="0" fontId="24" fillId="8" borderId="2" xfId="0" applyFont="1" applyFill="1" applyBorder="1" applyAlignment="1">
      <alignment horizontal="center" vertical="center"/>
    </xf>
    <xf numFmtId="0" fontId="24" fillId="8" borderId="3" xfId="0" applyFont="1" applyFill="1" applyBorder="1" applyAlignment="1">
      <alignment horizontal="center" vertical="center"/>
    </xf>
    <xf numFmtId="0" fontId="24" fillId="8" borderId="3" xfId="0" applyFont="1" applyFill="1" applyBorder="1" applyAlignment="1">
      <alignment horizontal="center" vertical="center" wrapText="1"/>
    </xf>
    <xf numFmtId="49" fontId="24" fillId="8" borderId="3" xfId="0" applyNumberFormat="1" applyFont="1" applyFill="1" applyBorder="1" applyAlignment="1">
      <alignment horizontal="center" vertical="center" wrapText="1"/>
    </xf>
    <xf numFmtId="49" fontId="24" fillId="8" borderId="4" xfId="0" applyNumberFormat="1" applyFont="1" applyFill="1" applyBorder="1" applyAlignment="1">
      <alignment horizontal="center" vertical="center" wrapText="1"/>
    </xf>
    <xf numFmtId="0" fontId="42" fillId="24" borderId="29" xfId="0" applyFont="1" applyFill="1" applyBorder="1"/>
    <xf numFmtId="0" fontId="42" fillId="24" borderId="30" xfId="0" applyFont="1" applyFill="1" applyBorder="1"/>
    <xf numFmtId="0" fontId="47" fillId="0" borderId="37" xfId="0" applyFont="1" applyBorder="1" applyAlignment="1">
      <alignment wrapText="1"/>
    </xf>
    <xf numFmtId="0" fontId="47" fillId="0" borderId="16" xfId="0" applyFont="1" applyBorder="1" applyAlignment="1">
      <alignment wrapText="1"/>
    </xf>
    <xf numFmtId="0" fontId="32" fillId="0" borderId="11" xfId="0" applyFont="1" applyBorder="1"/>
    <xf numFmtId="0" fontId="32" fillId="0" borderId="12" xfId="0" applyFont="1" applyBorder="1"/>
    <xf numFmtId="0" fontId="32" fillId="0" borderId="13" xfId="0" applyFont="1" applyBorder="1"/>
    <xf numFmtId="3" fontId="26" fillId="25" borderId="38" xfId="0" applyNumberFormat="1" applyFont="1" applyFill="1" applyBorder="1"/>
    <xf numFmtId="3" fontId="26" fillId="25" borderId="39" xfId="0" applyNumberFormat="1" applyFont="1" applyFill="1" applyBorder="1"/>
    <xf numFmtId="0" fontId="2" fillId="27" borderId="29" xfId="0" applyFont="1" applyFill="1" applyBorder="1"/>
    <xf numFmtId="0" fontId="2" fillId="27" borderId="30" xfId="0" applyFont="1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3" fontId="20" fillId="28" borderId="38" xfId="0" applyNumberFormat="1" applyFont="1" applyFill="1" applyBorder="1"/>
    <xf numFmtId="3" fontId="20" fillId="28" borderId="39" xfId="0" applyNumberFormat="1" applyFont="1" applyFill="1" applyBorder="1"/>
    <xf numFmtId="0" fontId="47" fillId="0" borderId="37" xfId="0" applyFont="1" applyBorder="1" applyAlignment="1">
      <alignment vertical="center" wrapText="1"/>
    </xf>
    <xf numFmtId="0" fontId="47" fillId="0" borderId="16" xfId="0" applyFont="1" applyBorder="1" applyAlignment="1">
      <alignment vertical="center" wrapText="1"/>
    </xf>
    <xf numFmtId="3" fontId="19" fillId="2" borderId="38" xfId="0" applyNumberFormat="1" applyFont="1" applyFill="1" applyBorder="1"/>
    <xf numFmtId="3" fontId="19" fillId="2" borderId="39" xfId="0" applyNumberFormat="1" applyFont="1" applyFill="1" applyBorder="1"/>
    <xf numFmtId="9" fontId="0" fillId="0" borderId="0" xfId="3" applyFont="1"/>
    <xf numFmtId="10" fontId="0" fillId="0" borderId="64" xfId="3" applyNumberFormat="1" applyFont="1" applyBorder="1"/>
    <xf numFmtId="10" fontId="3" fillId="0" borderId="64" xfId="3" applyNumberFormat="1" applyFont="1" applyBorder="1"/>
    <xf numFmtId="165" fontId="0" fillId="0" borderId="3" xfId="0" applyNumberFormat="1" applyBorder="1"/>
    <xf numFmtId="10" fontId="30" fillId="0" borderId="4" xfId="3" applyNumberFormat="1" applyFont="1" applyBorder="1" applyAlignment="1">
      <alignment horizontal="right" vertical="center"/>
    </xf>
    <xf numFmtId="10" fontId="0" fillId="0" borderId="64" xfId="3" applyNumberFormat="1" applyFont="1" applyBorder="1" applyAlignment="1">
      <alignment horizontal="right"/>
    </xf>
    <xf numFmtId="10" fontId="3" fillId="0" borderId="64" xfId="3" applyNumberFormat="1" applyFont="1" applyBorder="1" applyAlignment="1">
      <alignment horizontal="right"/>
    </xf>
    <xf numFmtId="0" fontId="6" fillId="14" borderId="65" xfId="0" applyFont="1" applyFill="1" applyBorder="1" applyAlignment="1">
      <alignment horizontal="center" vertical="center" wrapText="1"/>
    </xf>
    <xf numFmtId="0" fontId="6" fillId="14" borderId="32" xfId="0" applyFont="1" applyFill="1" applyBorder="1" applyAlignment="1">
      <alignment horizontal="center" vertical="center" wrapText="1"/>
    </xf>
    <xf numFmtId="0" fontId="6" fillId="15" borderId="32" xfId="0" applyFont="1" applyFill="1" applyBorder="1" applyAlignment="1">
      <alignment horizontal="center" vertical="center" wrapText="1"/>
    </xf>
    <xf numFmtId="0" fontId="6" fillId="4" borderId="67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left" vertical="top" wrapText="1"/>
    </xf>
    <xf numFmtId="3" fontId="6" fillId="7" borderId="3" xfId="2" applyNumberFormat="1" applyFont="1" applyFill="1" applyBorder="1" applyAlignment="1">
      <alignment horizontal="center" vertical="top" wrapText="1"/>
    </xf>
    <xf numFmtId="0" fontId="25" fillId="19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6" fillId="11" borderId="3" xfId="0" applyFont="1" applyFill="1" applyBorder="1" applyAlignment="1">
      <alignment horizontal="center" vertical="center" wrapText="1"/>
    </xf>
    <xf numFmtId="10" fontId="8" fillId="0" borderId="3" xfId="3" applyNumberFormat="1" applyFont="1" applyBorder="1" applyAlignment="1">
      <alignment horizontal="center" vertical="center" wrapText="1"/>
    </xf>
    <xf numFmtId="0" fontId="8" fillId="0" borderId="66" xfId="0" applyFont="1" applyBorder="1" applyAlignment="1">
      <alignment horizontal="left" vertical="top" wrapText="1"/>
    </xf>
    <xf numFmtId="167" fontId="0" fillId="0" borderId="3" xfId="0" applyNumberFormat="1" applyBorder="1" applyAlignment="1">
      <alignment horizontal="center"/>
    </xf>
    <xf numFmtId="3" fontId="16" fillId="12" borderId="21" xfId="0" applyNumberFormat="1" applyFont="1" applyFill="1" applyBorder="1" applyAlignment="1">
      <alignment horizontal="center" vertical="top" shrinkToFit="1"/>
    </xf>
    <xf numFmtId="0" fontId="8" fillId="0" borderId="32" xfId="0" applyFont="1" applyBorder="1" applyAlignment="1">
      <alignment horizontal="left" vertical="top" wrapText="1"/>
    </xf>
    <xf numFmtId="1" fontId="16" fillId="0" borderId="0" xfId="0" applyNumberFormat="1" applyFont="1" applyAlignment="1">
      <alignment horizontal="center" vertical="top" shrinkToFit="1"/>
    </xf>
    <xf numFmtId="1" fontId="0" fillId="0" borderId="69" xfId="0" applyNumberFormat="1" applyBorder="1" applyAlignment="1">
      <alignment horizontal="center"/>
    </xf>
    <xf numFmtId="0" fontId="6" fillId="14" borderId="3" xfId="0" applyFont="1" applyFill="1" applyBorder="1" applyAlignment="1">
      <alignment horizontal="center" vertical="center" wrapText="1"/>
    </xf>
    <xf numFmtId="0" fontId="6" fillId="15" borderId="3" xfId="0" applyFont="1" applyFill="1" applyBorder="1" applyAlignment="1">
      <alignment horizontal="center" vertical="center" wrapText="1"/>
    </xf>
    <xf numFmtId="1" fontId="0" fillId="0" borderId="3" xfId="0" applyNumberFormat="1" applyBorder="1" applyAlignment="1">
      <alignment horizontal="center"/>
    </xf>
    <xf numFmtId="1" fontId="17" fillId="0" borderId="0" xfId="0" applyNumberFormat="1" applyFont="1" applyAlignment="1">
      <alignment horizontal="center" vertical="center" wrapText="1"/>
    </xf>
    <xf numFmtId="0" fontId="23" fillId="0" borderId="4" xfId="0" applyFont="1" applyBorder="1"/>
    <xf numFmtId="0" fontId="23" fillId="0" borderId="44" xfId="0" applyFont="1" applyBorder="1"/>
    <xf numFmtId="3" fontId="8" fillId="6" borderId="3" xfId="0" applyNumberFormat="1" applyFont="1" applyFill="1" applyBorder="1" applyAlignment="1">
      <alignment horizontal="center"/>
    </xf>
    <xf numFmtId="3" fontId="8" fillId="6" borderId="24" xfId="0" applyNumberFormat="1" applyFont="1" applyFill="1" applyBorder="1" applyAlignment="1">
      <alignment horizontal="center" vertical="center"/>
    </xf>
    <xf numFmtId="10" fontId="51" fillId="6" borderId="39" xfId="0" applyNumberFormat="1" applyFont="1" applyFill="1" applyBorder="1" applyAlignment="1">
      <alignment horizontal="center" vertical="center"/>
    </xf>
    <xf numFmtId="164" fontId="43" fillId="0" borderId="3" xfId="0" applyNumberFormat="1" applyFont="1" applyBorder="1" applyAlignment="1">
      <alignment horizontal="right"/>
    </xf>
    <xf numFmtId="164" fontId="48" fillId="0" borderId="6" xfId="0" applyNumberFormat="1" applyFont="1" applyBorder="1" applyAlignment="1">
      <alignment horizontal="right" vertical="center"/>
    </xf>
    <xf numFmtId="164" fontId="49" fillId="0" borderId="3" xfId="0" applyNumberFormat="1" applyFont="1" applyBorder="1" applyAlignment="1">
      <alignment horizontal="right"/>
    </xf>
    <xf numFmtId="164" fontId="56" fillId="0" borderId="6" xfId="0" applyNumberFormat="1" applyFont="1" applyBorder="1" applyAlignment="1">
      <alignment horizontal="right" vertical="center"/>
    </xf>
    <xf numFmtId="42" fontId="3" fillId="0" borderId="3" xfId="12" applyFont="1" applyBorder="1" applyAlignment="1">
      <alignment horizontal="right"/>
    </xf>
    <xf numFmtId="164" fontId="0" fillId="0" borderId="3" xfId="0" applyNumberFormat="1" applyBorder="1" applyAlignment="1">
      <alignment horizontal="right"/>
    </xf>
    <xf numFmtId="164" fontId="0" fillId="0" borderId="3" xfId="1" applyNumberFormat="1" applyFont="1" applyBorder="1"/>
    <xf numFmtId="164" fontId="0" fillId="0" borderId="3" xfId="0" applyNumberFormat="1" applyBorder="1" applyAlignment="1">
      <alignment vertical="center"/>
    </xf>
    <xf numFmtId="164" fontId="0" fillId="0" borderId="3" xfId="1" applyNumberFormat="1" applyFont="1" applyBorder="1" applyAlignment="1"/>
    <xf numFmtId="10" fontId="60" fillId="0" borderId="64" xfId="3" applyNumberFormat="1" applyFont="1" applyBorder="1" applyAlignment="1">
      <alignment horizontal="right"/>
    </xf>
    <xf numFmtId="165" fontId="61" fillId="0" borderId="3" xfId="0" applyNumberFormat="1" applyFont="1" applyBorder="1"/>
    <xf numFmtId="3" fontId="4" fillId="0" borderId="3" xfId="0" applyNumberFormat="1" applyFont="1" applyBorder="1" applyAlignment="1">
      <alignment horizontal="center"/>
    </xf>
    <xf numFmtId="9" fontId="4" fillId="0" borderId="3" xfId="0" applyNumberFormat="1" applyFont="1" applyBorder="1" applyAlignment="1">
      <alignment horizontal="center"/>
    </xf>
    <xf numFmtId="1" fontId="4" fillId="0" borderId="3" xfId="0" applyNumberFormat="1" applyFont="1" applyBorder="1" applyAlignment="1">
      <alignment horizontal="center"/>
    </xf>
    <xf numFmtId="0" fontId="34" fillId="0" borderId="0" xfId="0" applyFont="1" applyAlignment="1">
      <alignment horizontal="justify" vertical="center" wrapText="1"/>
    </xf>
    <xf numFmtId="3" fontId="40" fillId="0" borderId="0" xfId="0" applyNumberFormat="1" applyFont="1" applyAlignment="1">
      <alignment horizontal="center" vertical="center" wrapText="1"/>
    </xf>
    <xf numFmtId="0" fontId="28" fillId="10" borderId="11" xfId="0" applyFont="1" applyFill="1" applyBorder="1" applyAlignment="1">
      <alignment horizontal="center" vertical="center"/>
    </xf>
    <xf numFmtId="0" fontId="28" fillId="10" borderId="12" xfId="0" applyFont="1" applyFill="1" applyBorder="1" applyAlignment="1">
      <alignment horizontal="center" vertical="center"/>
    </xf>
    <xf numFmtId="0" fontId="28" fillId="10" borderId="13" xfId="0" applyFont="1" applyFill="1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28" fillId="8" borderId="11" xfId="0" applyFont="1" applyFill="1" applyBorder="1" applyAlignment="1">
      <alignment horizontal="center" vertical="center"/>
    </xf>
    <xf numFmtId="0" fontId="28" fillId="8" borderId="12" xfId="0" applyFont="1" applyFill="1" applyBorder="1" applyAlignment="1">
      <alignment horizontal="center" vertical="center"/>
    </xf>
    <xf numFmtId="0" fontId="28" fillId="8" borderId="13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6" fillId="13" borderId="2" xfId="0" applyFont="1" applyFill="1" applyBorder="1" applyAlignment="1">
      <alignment horizontal="center" vertical="center" wrapText="1"/>
    </xf>
    <xf numFmtId="0" fontId="6" fillId="13" borderId="3" xfId="0" applyFont="1" applyFill="1" applyBorder="1" applyAlignment="1">
      <alignment horizontal="center" vertical="center" wrapText="1"/>
    </xf>
    <xf numFmtId="0" fontId="6" fillId="12" borderId="68" xfId="0" applyFont="1" applyFill="1" applyBorder="1" applyAlignment="1">
      <alignment horizontal="center" vertical="center" wrapText="1"/>
    </xf>
    <xf numFmtId="0" fontId="6" fillId="12" borderId="57" xfId="0" applyFont="1" applyFill="1" applyBorder="1" applyAlignment="1">
      <alignment horizontal="center" vertical="center" wrapText="1"/>
    </xf>
    <xf numFmtId="0" fontId="6" fillId="29" borderId="49" xfId="0" applyFont="1" applyFill="1" applyBorder="1" applyAlignment="1">
      <alignment horizontal="right" vertical="center" wrapText="1"/>
    </xf>
    <xf numFmtId="0" fontId="6" fillId="29" borderId="24" xfId="0" applyFont="1" applyFill="1" applyBorder="1" applyAlignment="1">
      <alignment horizontal="right" vertical="center" wrapText="1"/>
    </xf>
    <xf numFmtId="0" fontId="6" fillId="29" borderId="5" xfId="0" applyFont="1" applyFill="1" applyBorder="1" applyAlignment="1">
      <alignment horizontal="right" vertical="center" wrapText="1"/>
    </xf>
    <xf numFmtId="0" fontId="6" fillId="29" borderId="7" xfId="0" applyFont="1" applyFill="1" applyBorder="1" applyAlignment="1">
      <alignment horizontal="right" vertical="center" wrapText="1"/>
    </xf>
    <xf numFmtId="3" fontId="17" fillId="29" borderId="17" xfId="0" applyNumberFormat="1" applyFont="1" applyFill="1" applyBorder="1" applyAlignment="1">
      <alignment horizontal="center"/>
    </xf>
    <xf numFmtId="0" fontId="17" fillId="29" borderId="18" xfId="0" applyFont="1" applyFill="1" applyBorder="1" applyAlignment="1">
      <alignment horizontal="center"/>
    </xf>
    <xf numFmtId="0" fontId="59" fillId="12" borderId="28" xfId="0" applyFont="1" applyFill="1" applyBorder="1" applyAlignment="1">
      <alignment horizontal="center"/>
    </xf>
    <xf numFmtId="0" fontId="59" fillId="12" borderId="30" xfId="0" applyFont="1" applyFill="1" applyBorder="1" applyAlignment="1">
      <alignment horizontal="center"/>
    </xf>
    <xf numFmtId="3" fontId="59" fillId="12" borderId="29" xfId="0" applyNumberFormat="1" applyFont="1" applyFill="1" applyBorder="1" applyAlignment="1">
      <alignment horizontal="center"/>
    </xf>
    <xf numFmtId="3" fontId="16" fillId="12" borderId="58" xfId="0" applyNumberFormat="1" applyFont="1" applyFill="1" applyBorder="1" applyAlignment="1">
      <alignment horizontal="center" vertical="top"/>
    </xf>
    <xf numFmtId="0" fontId="16" fillId="12" borderId="18" xfId="0" applyFont="1" applyFill="1" applyBorder="1" applyAlignment="1">
      <alignment horizontal="center" vertical="top"/>
    </xf>
    <xf numFmtId="0" fontId="17" fillId="13" borderId="34" xfId="0" applyFont="1" applyFill="1" applyBorder="1" applyAlignment="1">
      <alignment horizontal="center" vertical="center"/>
    </xf>
    <xf numFmtId="0" fontId="17" fillId="13" borderId="35" xfId="0" applyFont="1" applyFill="1" applyBorder="1" applyAlignment="1">
      <alignment horizontal="center" vertical="center"/>
    </xf>
    <xf numFmtId="0" fontId="17" fillId="13" borderId="36" xfId="0" applyFont="1" applyFill="1" applyBorder="1" applyAlignment="1">
      <alignment horizontal="center" vertical="center"/>
    </xf>
    <xf numFmtId="0" fontId="20" fillId="8" borderId="8" xfId="0" applyFont="1" applyFill="1" applyBorder="1" applyAlignment="1">
      <alignment horizontal="center" vertical="center" wrapText="1"/>
    </xf>
    <xf numFmtId="0" fontId="20" fillId="8" borderId="9" xfId="0" applyFont="1" applyFill="1" applyBorder="1" applyAlignment="1">
      <alignment horizontal="center" vertical="center" wrapText="1"/>
    </xf>
    <xf numFmtId="0" fontId="20" fillId="8" borderId="10" xfId="0" applyFont="1" applyFill="1" applyBorder="1" applyAlignment="1">
      <alignment horizontal="center" vertical="center" wrapText="1"/>
    </xf>
    <xf numFmtId="0" fontId="6" fillId="6" borderId="68" xfId="0" applyFont="1" applyFill="1" applyBorder="1" applyAlignment="1">
      <alignment horizontal="center" vertical="top" wrapText="1"/>
    </xf>
    <xf numFmtId="0" fontId="6" fillId="6" borderId="64" xfId="0" applyFont="1" applyFill="1" applyBorder="1" applyAlignment="1">
      <alignment horizontal="center" vertical="top" wrapText="1"/>
    </xf>
    <xf numFmtId="0" fontId="6" fillId="6" borderId="14" xfId="0" applyFont="1" applyFill="1" applyBorder="1" applyAlignment="1">
      <alignment horizontal="center" vertical="top" wrapText="1"/>
    </xf>
    <xf numFmtId="0" fontId="6" fillId="6" borderId="18" xfId="0" applyFont="1" applyFill="1" applyBorder="1" applyAlignment="1">
      <alignment horizontal="center" vertical="top" wrapText="1"/>
    </xf>
    <xf numFmtId="0" fontId="20" fillId="8" borderId="11" xfId="0" applyFont="1" applyFill="1" applyBorder="1" applyAlignment="1">
      <alignment horizontal="center" vertical="center" wrapText="1"/>
    </xf>
    <xf numFmtId="0" fontId="20" fillId="8" borderId="12" xfId="0" applyFont="1" applyFill="1" applyBorder="1" applyAlignment="1">
      <alignment horizontal="center" vertical="center" wrapText="1"/>
    </xf>
    <xf numFmtId="0" fontId="20" fillId="8" borderId="13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top" wrapText="1"/>
    </xf>
    <xf numFmtId="0" fontId="6" fillId="6" borderId="47" xfId="0" applyFont="1" applyFill="1" applyBorder="1" applyAlignment="1">
      <alignment horizontal="center" vertical="top" wrapText="1"/>
    </xf>
    <xf numFmtId="0" fontId="6" fillId="6" borderId="17" xfId="0" applyFont="1" applyFill="1" applyBorder="1" applyAlignment="1">
      <alignment horizontal="center" vertical="top" wrapText="1"/>
    </xf>
    <xf numFmtId="0" fontId="6" fillId="12" borderId="54" xfId="0" applyFont="1" applyFill="1" applyBorder="1" applyAlignment="1">
      <alignment horizontal="center" vertical="center" wrapText="1"/>
    </xf>
    <xf numFmtId="0" fontId="6" fillId="12" borderId="55" xfId="0" applyFont="1" applyFill="1" applyBorder="1" applyAlignment="1">
      <alignment horizontal="center" vertical="center" wrapText="1"/>
    </xf>
    <xf numFmtId="3" fontId="16" fillId="12" borderId="51" xfId="0" applyNumberFormat="1" applyFont="1" applyFill="1" applyBorder="1" applyAlignment="1">
      <alignment horizontal="center" vertical="top"/>
    </xf>
    <xf numFmtId="0" fontId="16" fillId="12" borderId="56" xfId="0" applyFont="1" applyFill="1" applyBorder="1" applyAlignment="1">
      <alignment horizontal="center" vertical="top"/>
    </xf>
    <xf numFmtId="17" fontId="38" fillId="20" borderId="28" xfId="0" applyNumberFormat="1" applyFont="1" applyFill="1" applyBorder="1" applyAlignment="1">
      <alignment horizontal="center" vertical="center" wrapText="1"/>
    </xf>
    <xf numFmtId="0" fontId="38" fillId="20" borderId="29" xfId="0" applyFont="1" applyFill="1" applyBorder="1" applyAlignment="1">
      <alignment horizontal="center" vertical="center" wrapText="1"/>
    </xf>
    <xf numFmtId="0" fontId="38" fillId="20" borderId="30" xfId="0" applyFont="1" applyFill="1" applyBorder="1" applyAlignment="1">
      <alignment horizontal="center" vertical="center" wrapText="1"/>
    </xf>
    <xf numFmtId="0" fontId="15" fillId="16" borderId="34" xfId="0" applyFont="1" applyFill="1" applyBorder="1" applyAlignment="1">
      <alignment horizontal="center" vertical="center"/>
    </xf>
    <xf numFmtId="0" fontId="15" fillId="16" borderId="35" xfId="0" applyFont="1" applyFill="1" applyBorder="1" applyAlignment="1">
      <alignment horizontal="center" vertical="center"/>
    </xf>
    <xf numFmtId="0" fontId="15" fillId="16" borderId="36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42" xfId="0" applyFont="1" applyBorder="1" applyAlignment="1">
      <alignment horizontal="center"/>
    </xf>
    <xf numFmtId="0" fontId="20" fillId="16" borderId="40" xfId="0" applyFont="1" applyFill="1" applyBorder="1" applyAlignment="1">
      <alignment horizontal="center" vertical="center"/>
    </xf>
    <xf numFmtId="0" fontId="20" fillId="16" borderId="50" xfId="0" applyFont="1" applyFill="1" applyBorder="1" applyAlignment="1">
      <alignment horizontal="center" vertical="center"/>
    </xf>
    <xf numFmtId="0" fontId="20" fillId="16" borderId="41" xfId="0" applyFont="1" applyFill="1" applyBorder="1" applyAlignment="1">
      <alignment horizontal="center" vertical="center"/>
    </xf>
    <xf numFmtId="0" fontId="15" fillId="16" borderId="20" xfId="0" applyFont="1" applyFill="1" applyBorder="1" applyAlignment="1">
      <alignment horizontal="center" vertical="center"/>
    </xf>
    <xf numFmtId="0" fontId="15" fillId="16" borderId="21" xfId="0" applyFont="1" applyFill="1" applyBorder="1" applyAlignment="1">
      <alignment horizontal="center" vertical="center"/>
    </xf>
    <xf numFmtId="0" fontId="19" fillId="11" borderId="8" xfId="0" applyFont="1" applyFill="1" applyBorder="1" applyAlignment="1">
      <alignment horizontal="center"/>
    </xf>
    <xf numFmtId="0" fontId="19" fillId="11" borderId="9" xfId="0" applyFont="1" applyFill="1" applyBorder="1" applyAlignment="1">
      <alignment horizontal="center"/>
    </xf>
    <xf numFmtId="0" fontId="19" fillId="11" borderId="10" xfId="0" applyFont="1" applyFill="1" applyBorder="1" applyAlignment="1">
      <alignment horizontal="center" vertical="center" wrapText="1"/>
    </xf>
    <xf numFmtId="0" fontId="19" fillId="11" borderId="7" xfId="0" applyFont="1" applyFill="1" applyBorder="1" applyAlignment="1">
      <alignment horizontal="center" vertical="center" wrapText="1"/>
    </xf>
    <xf numFmtId="0" fontId="44" fillId="12" borderId="13" xfId="0" applyFont="1" applyFill="1" applyBorder="1" applyAlignment="1">
      <alignment horizontal="center" vertical="center" wrapText="1"/>
    </xf>
    <xf numFmtId="0" fontId="44" fillId="12" borderId="1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15" fillId="11" borderId="1" xfId="0" applyFont="1" applyFill="1" applyBorder="1" applyAlignment="1">
      <alignment horizontal="center" vertical="center"/>
    </xf>
    <xf numFmtId="0" fontId="15" fillId="11" borderId="47" xfId="0" applyFont="1" applyFill="1" applyBorder="1" applyAlignment="1">
      <alignment horizontal="center" vertical="center"/>
    </xf>
    <xf numFmtId="0" fontId="15" fillId="11" borderId="48" xfId="0" applyFont="1" applyFill="1" applyBorder="1" applyAlignment="1">
      <alignment horizontal="center" vertical="center"/>
    </xf>
    <xf numFmtId="0" fontId="15" fillId="11" borderId="28" xfId="0" applyFont="1" applyFill="1" applyBorder="1" applyAlignment="1">
      <alignment horizontal="center" vertical="center"/>
    </xf>
    <xf numFmtId="0" fontId="15" fillId="11" borderId="29" xfId="0" applyFont="1" applyFill="1" applyBorder="1" applyAlignment="1">
      <alignment horizontal="center" vertical="center"/>
    </xf>
    <xf numFmtId="0" fontId="15" fillId="11" borderId="30" xfId="0" applyFont="1" applyFill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7" fillId="0" borderId="27" xfId="0" applyFont="1" applyBorder="1" applyAlignment="1">
      <alignment horizontal="center" wrapText="1"/>
    </xf>
    <xf numFmtId="0" fontId="47" fillId="0" borderId="37" xfId="0" applyFont="1" applyBorder="1" applyAlignment="1">
      <alignment horizontal="center" wrapText="1"/>
    </xf>
    <xf numFmtId="0" fontId="4" fillId="5" borderId="28" xfId="0" applyFont="1" applyFill="1" applyBorder="1" applyAlignment="1">
      <alignment horizontal="center"/>
    </xf>
    <xf numFmtId="0" fontId="4" fillId="5" borderId="29" xfId="0" applyFont="1" applyFill="1" applyBorder="1" applyAlignment="1">
      <alignment horizontal="center"/>
    </xf>
    <xf numFmtId="0" fontId="4" fillId="5" borderId="30" xfId="0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3" fontId="17" fillId="2" borderId="26" xfId="0" applyNumberFormat="1" applyFont="1" applyFill="1" applyBorder="1" applyAlignment="1">
      <alignment horizontal="left"/>
    </xf>
    <xf numFmtId="3" fontId="17" fillId="2" borderId="38" xfId="0" applyNumberFormat="1" applyFont="1" applyFill="1" applyBorder="1" applyAlignment="1">
      <alignment horizontal="left"/>
    </xf>
    <xf numFmtId="3" fontId="17" fillId="2" borderId="39" xfId="0" applyNumberFormat="1" applyFont="1" applyFill="1" applyBorder="1" applyAlignment="1">
      <alignment horizontal="left"/>
    </xf>
    <xf numFmtId="0" fontId="0" fillId="0" borderId="15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16" xfId="0" applyBorder="1" applyAlignment="1">
      <alignment horizontal="center"/>
    </xf>
    <xf numFmtId="3" fontId="19" fillId="2" borderId="26" xfId="0" applyNumberFormat="1" applyFont="1" applyFill="1" applyBorder="1" applyAlignment="1">
      <alignment horizontal="center"/>
    </xf>
    <xf numFmtId="3" fontId="19" fillId="2" borderId="38" xfId="0" applyNumberFormat="1" applyFont="1" applyFill="1" applyBorder="1" applyAlignment="1">
      <alignment horizontal="center"/>
    </xf>
    <xf numFmtId="0" fontId="42" fillId="10" borderId="11" xfId="0" applyFont="1" applyFill="1" applyBorder="1" applyAlignment="1">
      <alignment horizontal="center"/>
    </xf>
    <xf numFmtId="0" fontId="42" fillId="10" borderId="12" xfId="0" applyFont="1" applyFill="1" applyBorder="1" applyAlignment="1">
      <alignment horizontal="center"/>
    </xf>
    <xf numFmtId="0" fontId="42" fillId="10" borderId="13" xfId="0" applyFont="1" applyFill="1" applyBorder="1" applyAlignment="1">
      <alignment horizontal="center"/>
    </xf>
    <xf numFmtId="0" fontId="47" fillId="0" borderId="27" xfId="0" applyFont="1" applyBorder="1" applyAlignment="1">
      <alignment horizontal="center" vertical="center" wrapText="1"/>
    </xf>
    <xf numFmtId="0" fontId="47" fillId="0" borderId="37" xfId="0" applyFont="1" applyBorder="1" applyAlignment="1">
      <alignment horizontal="center" vertical="center" wrapText="1"/>
    </xf>
    <xf numFmtId="0" fontId="47" fillId="0" borderId="16" xfId="0" applyFont="1" applyBorder="1" applyAlignment="1">
      <alignment horizontal="center" wrapText="1"/>
    </xf>
    <xf numFmtId="0" fontId="2" fillId="8" borderId="11" xfId="0" applyFont="1" applyFill="1" applyBorder="1" applyAlignment="1">
      <alignment horizontal="center" vertical="center"/>
    </xf>
    <xf numFmtId="0" fontId="2" fillId="8" borderId="13" xfId="0" applyFont="1" applyFill="1" applyBorder="1" applyAlignment="1">
      <alignment horizontal="center" vertical="center"/>
    </xf>
    <xf numFmtId="0" fontId="4" fillId="17" borderId="28" xfId="0" applyFont="1" applyFill="1" applyBorder="1" applyAlignment="1">
      <alignment horizontal="center"/>
    </xf>
    <xf numFmtId="0" fontId="4" fillId="17" borderId="29" xfId="0" applyFont="1" applyFill="1" applyBorder="1" applyAlignment="1">
      <alignment horizontal="center"/>
    </xf>
    <xf numFmtId="0" fontId="4" fillId="17" borderId="30" xfId="0" applyFont="1" applyFill="1" applyBorder="1" applyAlignment="1">
      <alignment horizontal="center"/>
    </xf>
    <xf numFmtId="0" fontId="42" fillId="8" borderId="11" xfId="0" applyFont="1" applyFill="1" applyBorder="1" applyAlignment="1">
      <alignment horizontal="center" vertical="center" wrapText="1"/>
    </xf>
    <xf numFmtId="0" fontId="42" fillId="8" borderId="13" xfId="0" applyFont="1" applyFill="1" applyBorder="1" applyAlignment="1">
      <alignment horizontal="center" vertical="center" wrapText="1"/>
    </xf>
    <xf numFmtId="0" fontId="42" fillId="24" borderId="28" xfId="0" applyFont="1" applyFill="1" applyBorder="1" applyAlignment="1">
      <alignment horizontal="center"/>
    </xf>
    <xf numFmtId="0" fontId="42" fillId="24" borderId="29" xfId="0" applyFont="1" applyFill="1" applyBorder="1" applyAlignment="1">
      <alignment horizontal="center"/>
    </xf>
    <xf numFmtId="0" fontId="2" fillId="27" borderId="28" xfId="0" applyFont="1" applyFill="1" applyBorder="1" applyAlignment="1">
      <alignment horizontal="center"/>
    </xf>
    <xf numFmtId="0" fontId="2" fillId="27" borderId="29" xfId="0" applyFont="1" applyFill="1" applyBorder="1" applyAlignment="1">
      <alignment horizontal="center"/>
    </xf>
    <xf numFmtId="3" fontId="20" fillId="28" borderId="25" xfId="0" applyNumberFormat="1" applyFont="1" applyFill="1" applyBorder="1" applyAlignment="1">
      <alignment horizontal="center"/>
    </xf>
    <xf numFmtId="3" fontId="20" fillId="28" borderId="38" xfId="0" applyNumberFormat="1" applyFont="1" applyFill="1" applyBorder="1" applyAlignment="1">
      <alignment horizontal="center"/>
    </xf>
    <xf numFmtId="3" fontId="26" fillId="25" borderId="25" xfId="0" applyNumberFormat="1" applyFont="1" applyFill="1" applyBorder="1" applyAlignment="1">
      <alignment horizontal="center"/>
    </xf>
    <xf numFmtId="3" fontId="26" fillId="25" borderId="38" xfId="0" applyNumberFormat="1" applyFont="1" applyFill="1" applyBorder="1" applyAlignment="1">
      <alignment horizontal="center"/>
    </xf>
    <xf numFmtId="3" fontId="20" fillId="28" borderId="26" xfId="0" applyNumberFormat="1" applyFont="1" applyFill="1" applyBorder="1" applyAlignment="1">
      <alignment horizontal="center"/>
    </xf>
    <xf numFmtId="1" fontId="16" fillId="0" borderId="3" xfId="0" applyNumberFormat="1" applyFont="1" applyBorder="1" applyAlignment="1">
      <alignment horizontal="center" vertical="top" shrinkToFit="1"/>
    </xf>
    <xf numFmtId="9" fontId="17" fillId="0" borderId="3" xfId="0" applyNumberFormat="1" applyFont="1" applyBorder="1" applyAlignment="1">
      <alignment horizontal="center"/>
    </xf>
  </cellXfs>
  <cellStyles count="18">
    <cellStyle name="EstiloLabel" xfId="15" xr:uid="{00000000-0005-0000-0000-000000000000}"/>
    <cellStyle name="Millares [0]" xfId="1" builtinId="6"/>
    <cellStyle name="Millares [0] 2" xfId="4" xr:uid="{00000000-0005-0000-0000-000002000000}"/>
    <cellStyle name="Millares [0] 3" xfId="6" xr:uid="{00000000-0005-0000-0000-000003000000}"/>
    <cellStyle name="Millares [0] 4" xfId="13" xr:uid="{00000000-0005-0000-0000-000004000000}"/>
    <cellStyle name="Moneda" xfId="2" builtinId="4"/>
    <cellStyle name="Moneda [0]" xfId="12" builtinId="7"/>
    <cellStyle name="Moneda [0] 2" xfId="8" xr:uid="{00000000-0005-0000-0000-000007000000}"/>
    <cellStyle name="Moneda 2" xfId="5" xr:uid="{00000000-0005-0000-0000-000008000000}"/>
    <cellStyle name="Moneda 3" xfId="7" xr:uid="{00000000-0005-0000-0000-000009000000}"/>
    <cellStyle name="Moneda 4" xfId="9" xr:uid="{00000000-0005-0000-0000-00000A000000}"/>
    <cellStyle name="Moneda 5" xfId="10" xr:uid="{00000000-0005-0000-0000-00000B000000}"/>
    <cellStyle name="Moneda 6" xfId="11" xr:uid="{00000000-0005-0000-0000-00000C000000}"/>
    <cellStyle name="Moneda 7" xfId="14" xr:uid="{00000000-0005-0000-0000-00000D000000}"/>
    <cellStyle name="Normal" xfId="0" builtinId="0"/>
    <cellStyle name="Normal 10" xfId="17" xr:uid="{738589EF-8101-47E6-9BA6-A7C3263D5B8F}"/>
    <cellStyle name="Porcentaje" xfId="3" builtinId="5"/>
    <cellStyle name="SinEstilo" xfId="16" xr:uid="{00000000-0005-0000-0000-000010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>
                <a:solidFill>
                  <a:sysClr val="windowText" lastClr="000000"/>
                </a:solidFill>
              </a:rPr>
              <a:t>PASAJEROS NACIONALES LLEGADOS POR AEROLINEA NOVIEMBRE 2025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9340448741773064"/>
          <c:y val="3.17022089534561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9266019722611692E-2"/>
          <c:y val="0.16138930755771091"/>
          <c:w val="0.94542636191892948"/>
          <c:h val="0.68898858855384559"/>
        </c:manualLayout>
      </c:layout>
      <c:pie3DChart>
        <c:varyColors val="1"/>
        <c:ser>
          <c:idx val="0"/>
          <c:order val="0"/>
          <c:explosion val="1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D9FB-4506-BB64-732320B560F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D9FB-4506-BB64-732320B560FE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D9FB-4506-BB64-732320B560FE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D9FB-4506-BB64-732320B560FE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9-53E2-4040-A1DE-F57261AC924D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B-53E2-4040-A1DE-F57261AC924D}"/>
              </c:ext>
            </c:extLst>
          </c:dPt>
          <c:dLbls>
            <c:dLbl>
              <c:idx val="0"/>
              <c:layout>
                <c:manualLayout>
                  <c:x val="-0.2235938595774157"/>
                  <c:y val="-0.14312710617658209"/>
                </c:manualLayout>
              </c:layout>
              <c:tx>
                <c:rich>
                  <a:bodyPr/>
                  <a:lstStyle/>
                  <a:p>
                    <a:fld id="{B79B82EC-316C-40A9-8C25-DFB9EA94E6EE}" type="CATEGORYNAM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b="1">
                        <a:solidFill>
                          <a:sysClr val="windowText" lastClr="000000"/>
                        </a:solidFill>
                      </a:rPr>
                      <a:t>
</a:t>
                    </a:r>
                    <a:fld id="{61F538DA-CB43-4F40-AEC7-BC320B0856F2}" type="PERCENTAG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b="1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D9FB-4506-BB64-732320B560FE}"/>
                </c:ext>
              </c:extLst>
            </c:dLbl>
            <c:dLbl>
              <c:idx val="1"/>
              <c:layout>
                <c:manualLayout>
                  <c:x val="0.16233764701111289"/>
                  <c:y val="-9.3939623294336444E-2"/>
                </c:manualLayout>
              </c:layout>
              <c:tx>
                <c:rich>
                  <a:bodyPr/>
                  <a:lstStyle/>
                  <a:p>
                    <a:fld id="{A0B40D52-16AC-4AFD-BB0B-35C6433C88C2}" type="CATEGORYNAM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b="1">
                        <a:solidFill>
                          <a:sysClr val="windowText" lastClr="000000"/>
                        </a:solidFill>
                      </a:rPr>
                      <a:t>
</a:t>
                    </a:r>
                    <a:fld id="{D3D5018B-016D-429F-AE8A-278AEF009B77}" type="PERCENTAG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b="1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D9FB-4506-BB64-732320B560FE}"/>
                </c:ext>
              </c:extLst>
            </c:dLbl>
            <c:dLbl>
              <c:idx val="2"/>
              <c:layout>
                <c:manualLayout>
                  <c:x val="6.0438408590420593E-2"/>
                  <c:y val="5.515645611227645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9FB-4506-BB64-732320B560FE}"/>
                </c:ext>
              </c:extLst>
            </c:dLbl>
            <c:dLbl>
              <c:idx val="3"/>
              <c:layout>
                <c:manualLayout>
                  <c:x val="3.5669325281459052E-2"/>
                  <c:y val="6.766753887074800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9FB-4506-BB64-732320B560FE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'ESTADISTICAS AEROLINEAS '!$B$46:$B$51</c:f>
              <c:strCache>
                <c:ptCount val="6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AVIACIÓN GENERAL</c:v>
                </c:pt>
                <c:pt idx="5">
                  <c:v>AVIACIÓN ESTATAL</c:v>
                </c:pt>
              </c:strCache>
            </c:strRef>
          </c:cat>
          <c:val>
            <c:numRef>
              <c:f>'ESTADISTICAS AEROLINEAS '!$C$46:$C$51</c:f>
              <c:numCache>
                <c:formatCode>#,##0</c:formatCode>
                <c:ptCount val="6"/>
                <c:pt idx="0">
                  <c:v>70448</c:v>
                </c:pt>
                <c:pt idx="1">
                  <c:v>26485</c:v>
                </c:pt>
                <c:pt idx="2">
                  <c:v>15302</c:v>
                </c:pt>
                <c:pt idx="3">
                  <c:v>3287</c:v>
                </c:pt>
                <c:pt idx="4">
                  <c:v>123</c:v>
                </c:pt>
                <c:pt idx="5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D9FB-4506-BB64-732320B560FE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ysClr val="windowText" lastClr="000000"/>
                </a:solidFill>
                <a:effectLst/>
              </a:rPr>
              <a:t>PASAJEROS INTERNACIONALES </a:t>
            </a:r>
            <a:r>
              <a:rPr lang="en-US" sz="1000" b="1" i="0" u="none" baseline="0">
                <a:solidFill>
                  <a:sysClr val="windowText" lastClr="000000"/>
                </a:solidFill>
                <a:effectLst/>
              </a:rPr>
              <a:t>LLEGADOS </a:t>
            </a:r>
            <a:r>
              <a:rPr lang="en-US" sz="1000" b="1" i="0" baseline="0">
                <a:solidFill>
                  <a:sysClr val="windowText" lastClr="000000"/>
                </a:solidFill>
                <a:effectLst/>
              </a:rPr>
              <a:t>POR AEROLINEA NOVIEMBRE 2025</a:t>
            </a:r>
            <a:endParaRPr lang="es-CO" sz="100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6390760130510687"/>
          <c:y val="3.9004114672042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2697190968373145E-2"/>
          <c:y val="0.21125736920576163"/>
          <c:w val="0.93730280903162688"/>
          <c:h val="0.70522141972891561"/>
        </c:manualLayout>
      </c:layout>
      <c:pie3DChart>
        <c:varyColors val="1"/>
        <c:ser>
          <c:idx val="0"/>
          <c:order val="0"/>
          <c:tx>
            <c:strRef>
              <c:f>'ESTADISTICAS AEROLINEAS '!$C$55</c:f>
              <c:strCache>
                <c:ptCount val="1"/>
                <c:pt idx="0">
                  <c:v>PAX. INTERNACIONALES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6618-45FD-97F4-30C51C821FB3}"/>
              </c:ext>
            </c:extLst>
          </c:dPt>
          <c:dPt>
            <c:idx val="1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80E7-4C4E-A579-0C6F5E94F982}"/>
              </c:ext>
            </c:extLst>
          </c:dPt>
          <c:dLbls>
            <c:dLbl>
              <c:idx val="0"/>
              <c:layout>
                <c:manualLayout>
                  <c:x val="-0.10177312179711585"/>
                  <c:y val="-0.31189075383440562"/>
                </c:manualLayout>
              </c:layout>
              <c:tx>
                <c:rich>
                  <a:bodyPr/>
                  <a:lstStyle/>
                  <a:p>
                    <a:fld id="{63F2525E-923A-4DCC-B02F-3D70ECD758A8}" type="CATEGORYNAME">
                      <a:rPr lang="en-US" sz="1200"/>
                      <a:pPr/>
                      <a:t>[NOMBRE DE CATEGORÍA]</a:t>
                    </a:fld>
                    <a:r>
                      <a:rPr lang="en-US" sz="1200" baseline="0"/>
                      <a:t>
</a:t>
                    </a:r>
                    <a:fld id="{BEC847C2-D21A-48C9-85CF-484E8AE47C5C}" type="PERCENTAGE">
                      <a:rPr lang="en-US" sz="1200" baseline="0"/>
                      <a:pPr/>
                      <a:t>[PORCENTAJE]</a:t>
                    </a:fld>
                    <a:endParaRPr lang="en-US" sz="1200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9699168557197824"/>
                      <c:h val="0.13789902395322517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6618-45FD-97F4-30C51C821FB3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'ESTADISTICAS AEROLINEAS '!$B$56:$B$57</c:f>
              <c:strCache>
                <c:ptCount val="2"/>
                <c:pt idx="0">
                  <c:v>COPA</c:v>
                </c:pt>
                <c:pt idx="1">
                  <c:v>GENERAL</c:v>
                </c:pt>
              </c:strCache>
            </c:strRef>
          </c:cat>
          <c:val>
            <c:numRef>
              <c:f>'ESTADISTICAS AEROLINEAS '!$C$56:$C$57</c:f>
              <c:numCache>
                <c:formatCode>#,##0</c:formatCode>
                <c:ptCount val="2"/>
                <c:pt idx="0">
                  <c:v>8510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618-45FD-97F4-30C51C821F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000">
                <a:solidFill>
                  <a:sysClr val="windowText" lastClr="000000"/>
                </a:solidFill>
              </a:rPr>
              <a:t>PASAJEROS</a:t>
            </a:r>
            <a:r>
              <a:rPr lang="es-CO" sz="1000" baseline="0">
                <a:solidFill>
                  <a:sysClr val="windowText" lastClr="000000"/>
                </a:solidFill>
              </a:rPr>
              <a:t> INTERNACIONALES SALIDOS POR AEROLINEAS NOVIEMBRE 2025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26957539639114286"/>
          <c:y val="0.14874707221533678"/>
          <c:w val="0.52237509387915415"/>
          <c:h val="0.73763027517206858"/>
        </c:manualLayout>
      </c:layout>
      <c:pieChart>
        <c:varyColors val="1"/>
        <c:ser>
          <c:idx val="0"/>
          <c:order val="0"/>
          <c:explosion val="6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26E9-4941-9952-2F4B5C9D329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26E9-4941-9952-2F4B5C9D329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26E9-4941-9952-2F4B5C9D3290}"/>
              </c:ext>
            </c:extLst>
          </c:dPt>
          <c:dPt>
            <c:idx val="3"/>
            <c:bubble3D val="0"/>
            <c:spPr>
              <a:solidFill>
                <a:schemeClr val="tx2">
                  <a:lumMod val="5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71DD-45A1-A03D-C13F12CC314B}"/>
              </c:ext>
            </c:extLst>
          </c:dPt>
          <c:dPt>
            <c:idx val="4"/>
            <c:bubble3D val="0"/>
            <c:spPr>
              <a:solidFill>
                <a:schemeClr val="tx2">
                  <a:lumMod val="5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6-71DD-45A1-A03D-C13F12CC314B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>
                        <a:solidFill>
                          <a:sysClr val="windowText" lastClr="000000"/>
                        </a:solidFill>
                      </a:rPr>
                      <a:t>AVIANCA </a:t>
                    </a:r>
                    <a:fld id="{BFE43635-BE36-43F4-8EC5-CE64F2538A87}" type="PERCENTAGE">
                      <a:rPr lang="en-US">
                        <a:solidFill>
                          <a:sysClr val="windowText" lastClr="000000"/>
                        </a:solidFill>
                      </a:rPr>
                      <a:pPr>
                        <a:defRPr sz="9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[PORCENTAJE]</a:t>
                    </a:fld>
                    <a:endParaRPr lang="en-US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26E9-4941-9952-2F4B5C9D3290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COPA </a:t>
                    </a:r>
                    <a:fld id="{D4C8CE97-1C09-4386-A978-C99004827DB2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26E9-4941-9952-2F4B5C9D3290}"/>
                </c:ext>
              </c:extLst>
            </c:dLbl>
            <c:dLbl>
              <c:idx val="2"/>
              <c:layout>
                <c:manualLayout>
                  <c:x val="2.4452433777970184E-2"/>
                  <c:y val="2.6756308017408366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LATAM </a:t>
                    </a:r>
                    <a:fld id="{68EA809F-73D5-45F3-A314-5BCB8FD149E4}" type="PERCENTAGE">
                      <a:rPr lang="en-US"/>
                      <a:pPr>
                        <a:defRPr sz="9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[PORCENTAJE]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26E9-4941-9952-2F4B5C9D329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'ESTADISTICAS AEROLINEAS '!$B$25:$B$29</c:f>
              <c:strCache>
                <c:ptCount val="5"/>
                <c:pt idx="0">
                  <c:v>AVIANCA</c:v>
                </c:pt>
                <c:pt idx="1">
                  <c:v>COPA</c:v>
                </c:pt>
                <c:pt idx="2">
                  <c:v>LATAM</c:v>
                </c:pt>
                <c:pt idx="3">
                  <c:v>AVIACIÓN GENERAL</c:v>
                </c:pt>
                <c:pt idx="4">
                  <c:v>AVIACION ESTATAL</c:v>
                </c:pt>
              </c:strCache>
            </c:strRef>
          </c:cat>
          <c:val>
            <c:numRef>
              <c:f>'ESTADISTICAS AEROLINEAS '!$C$25:$C$29</c:f>
              <c:numCache>
                <c:formatCode>#,##0</c:formatCode>
                <c:ptCount val="5"/>
                <c:pt idx="0">
                  <c:v>0</c:v>
                </c:pt>
                <c:pt idx="1">
                  <c:v>8260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E9-4941-9952-2F4B5C9D3290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ysClr val="windowText" lastClr="000000"/>
                </a:solidFill>
              </a:rPr>
              <a:t>PASAJEROS NACIONALES SALIDOS POR AEROLINEA NOVIEMBRE 2025</a:t>
            </a:r>
            <a:endParaRPr lang="es-CO" sz="1200" b="1" i="0" u="none" strike="noStrike" kern="1200" spc="0" baseline="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8075128803074286"/>
          <c:y val="2.10234270503635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5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'ESTADISTICAS AEROLINEAS '!$C$14</c:f>
              <c:strCache>
                <c:ptCount val="1"/>
                <c:pt idx="0">
                  <c:v>PAX. NACIONALES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7F83-4B01-BAB7-E76DA010516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7F83-4B01-BAB7-E76DA010516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7F83-4B01-BAB7-E76DA010516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7F83-4B01-BAB7-E76DA010516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9-7F83-4B01-BAB7-E76DA010516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B-7F83-4B01-BAB7-E76DA0105160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'ESTADISTICAS AEROLINEAS '!$B$15:$B$20</c:f>
              <c:strCache>
                <c:ptCount val="6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AVIACIÓN GENERAL</c:v>
                </c:pt>
                <c:pt idx="5">
                  <c:v>AVIACIÓN ESTATAL</c:v>
                </c:pt>
              </c:strCache>
            </c:strRef>
          </c:cat>
          <c:val>
            <c:numRef>
              <c:f>'ESTADISTICAS AEROLINEAS '!$C$15:$C$20</c:f>
              <c:numCache>
                <c:formatCode>#,##0</c:formatCode>
                <c:ptCount val="6"/>
                <c:pt idx="0">
                  <c:v>55072</c:v>
                </c:pt>
                <c:pt idx="1">
                  <c:v>26075</c:v>
                </c:pt>
                <c:pt idx="2">
                  <c:v>15403</c:v>
                </c:pt>
                <c:pt idx="3">
                  <c:v>3275</c:v>
                </c:pt>
                <c:pt idx="4">
                  <c:v>141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CE-469B-9F72-98497930A5C6}"/>
            </c:ext>
          </c:extLst>
        </c:ser>
        <c:dLbls>
          <c:dLblPos val="ctr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0" baseline="0">
                <a:solidFill>
                  <a:sysClr val="windowText" lastClr="000000"/>
                </a:solidFill>
                <a:effectLst/>
              </a:rPr>
              <a:t>MOVIMIENTO DE OPERACIONES POR </a:t>
            </a:r>
            <a:r>
              <a:rPr lang="en-US" sz="1200" b="1" i="0" u="none" baseline="0">
                <a:solidFill>
                  <a:sysClr val="windowText" lastClr="000000"/>
                </a:solidFill>
                <a:effectLst/>
              </a:rPr>
              <a:t>AEROLÍNEA - PROCEDENCIA NOVIEMBRE</a:t>
            </a:r>
          </a:p>
          <a:p>
            <a:pPr>
              <a:defRPr sz="1200">
                <a:solidFill>
                  <a:sysClr val="windowText" lastClr="000000"/>
                </a:solidFill>
              </a:defRPr>
            </a:pPr>
            <a:r>
              <a:rPr lang="en-US" sz="1200" b="1" i="0" u="none" baseline="0">
                <a:solidFill>
                  <a:sysClr val="windowText" lastClr="000000"/>
                </a:solidFill>
                <a:effectLst/>
              </a:rPr>
              <a:t> 2025</a:t>
            </a:r>
            <a:endParaRPr lang="es-CO" sz="1200" u="none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2051499995799722"/>
          <c:y val="6.040861448610314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'DESTINO Y PROCE '!$C$105</c:f>
              <c:strCache>
                <c:ptCount val="1"/>
                <c:pt idx="0">
                  <c:v>PROCEDENCIA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'!$B$106:$B$112</c:f>
              <c:strCache>
                <c:ptCount val="7"/>
                <c:pt idx="0">
                  <c:v>AVIANCA</c:v>
                </c:pt>
                <c:pt idx="1">
                  <c:v>GENERAL</c:v>
                </c:pt>
                <c:pt idx="2">
                  <c:v>LATAM</c:v>
                </c:pt>
                <c:pt idx="3">
                  <c:v>CLIC</c:v>
                </c:pt>
                <c:pt idx="4">
                  <c:v>JETSMART</c:v>
                </c:pt>
                <c:pt idx="5">
                  <c:v>COPA</c:v>
                </c:pt>
                <c:pt idx="6">
                  <c:v>ESTATAL</c:v>
                </c:pt>
              </c:strCache>
            </c:strRef>
          </c:cat>
          <c:val>
            <c:numRef>
              <c:f>'DESTINO Y PROCE '!$C$106:$C$112</c:f>
              <c:numCache>
                <c:formatCode>0</c:formatCode>
                <c:ptCount val="7"/>
                <c:pt idx="0">
                  <c:v>448</c:v>
                </c:pt>
                <c:pt idx="1">
                  <c:v>185</c:v>
                </c:pt>
                <c:pt idx="2">
                  <c:v>184</c:v>
                </c:pt>
                <c:pt idx="3">
                  <c:v>111</c:v>
                </c:pt>
                <c:pt idx="4">
                  <c:v>97</c:v>
                </c:pt>
                <c:pt idx="5">
                  <c:v>58</c:v>
                </c:pt>
                <c:pt idx="6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16-4A36-BD82-8F73498693D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642954912"/>
        <c:axId val="642952616"/>
        <c:axId val="564915592"/>
      </c:bar3DChart>
      <c:catAx>
        <c:axId val="642954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2616"/>
        <c:crosses val="autoZero"/>
        <c:auto val="1"/>
        <c:lblAlgn val="ctr"/>
        <c:lblOffset val="100"/>
        <c:noMultiLvlLbl val="0"/>
      </c:catAx>
      <c:valAx>
        <c:axId val="642952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4912"/>
        <c:crosses val="autoZero"/>
        <c:crossBetween val="between"/>
      </c:valAx>
      <c:serAx>
        <c:axId val="56491559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2616"/>
        <c:crosses val="autoZero"/>
      </c:ser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MOVIMIENTO DE OPERACIONES POR AEROLÍNEA </a:t>
            </a:r>
            <a:r>
              <a:rPr lang="en-US" sz="1000" b="1" i="0" u="none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- DESTINO NOVIEMBRE</a:t>
            </a:r>
          </a:p>
          <a:p>
            <a:pPr>
              <a:defRPr sz="1000">
                <a:solidFill>
                  <a:sysClr val="windowText" lastClr="000000"/>
                </a:solidFill>
              </a:defRPr>
            </a:pPr>
            <a:r>
              <a:rPr lang="en-US" sz="1000" b="1" i="0" u="none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 2025</a:t>
            </a:r>
            <a:endParaRPr lang="es-CO" sz="1000" u="none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878042495149432"/>
          <c:y val="4.33048372601942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tx>
            <c:strRef>
              <c:f>'DESTINO Y PROCE '!$C$115</c:f>
              <c:strCache>
                <c:ptCount val="1"/>
                <c:pt idx="0">
                  <c:v>DESTINO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'!$B$116:$B$122</c:f>
              <c:strCache>
                <c:ptCount val="7"/>
                <c:pt idx="0">
                  <c:v>AVIANCA</c:v>
                </c:pt>
                <c:pt idx="1">
                  <c:v>GENERAL</c:v>
                </c:pt>
                <c:pt idx="2">
                  <c:v>LATAM</c:v>
                </c:pt>
                <c:pt idx="3">
                  <c:v>CLIC</c:v>
                </c:pt>
                <c:pt idx="4">
                  <c:v>JETSMART</c:v>
                </c:pt>
                <c:pt idx="5">
                  <c:v>COPA</c:v>
                </c:pt>
                <c:pt idx="6">
                  <c:v>ESTATAL</c:v>
                </c:pt>
              </c:strCache>
            </c:strRef>
          </c:cat>
          <c:val>
            <c:numRef>
              <c:f>'DESTINO Y PROCE '!$C$116:$C$122</c:f>
              <c:numCache>
                <c:formatCode>0</c:formatCode>
                <c:ptCount val="7"/>
                <c:pt idx="0">
                  <c:v>457</c:v>
                </c:pt>
                <c:pt idx="1">
                  <c:v>194</c:v>
                </c:pt>
                <c:pt idx="2">
                  <c:v>189</c:v>
                </c:pt>
                <c:pt idx="3">
                  <c:v>112</c:v>
                </c:pt>
                <c:pt idx="4">
                  <c:v>98</c:v>
                </c:pt>
                <c:pt idx="5">
                  <c:v>59</c:v>
                </c:pt>
                <c:pt idx="6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E7-4C01-AD3D-7A7D665E049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564026040"/>
        <c:axId val="564023416"/>
        <c:axId val="0"/>
      </c:bar3DChart>
      <c:catAx>
        <c:axId val="564026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4023416"/>
        <c:crosses val="autoZero"/>
        <c:auto val="1"/>
        <c:lblAlgn val="ctr"/>
        <c:lblOffset val="100"/>
        <c:noMultiLvlLbl val="0"/>
      </c:catAx>
      <c:valAx>
        <c:axId val="564023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40260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>
                <a:solidFill>
                  <a:sysClr val="windowText" lastClr="000000"/>
                </a:solidFill>
              </a:rPr>
              <a:t>OPERACIONES COMERCIALES NACIONALES POR DESTINO Y PROCEDENCIA NOVIEMBRE 2025</a:t>
            </a:r>
          </a:p>
        </c:rich>
      </c:tx>
      <c:layout>
        <c:manualLayout>
          <c:xMode val="edge"/>
          <c:yMode val="edge"/>
          <c:x val="9.4192741038257644E-2"/>
          <c:y val="3.185693112497853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0933621438708579"/>
          <c:y val="0.24755865125546495"/>
          <c:w val="0.83630939066707266"/>
          <c:h val="0.62143964466748869"/>
        </c:manualLayout>
      </c:layout>
      <c:pie3DChart>
        <c:varyColors val="1"/>
        <c:ser>
          <c:idx val="0"/>
          <c:order val="0"/>
          <c:tx>
            <c:strRef>
              <c:f>'DESTINO Y PROCE '!$C$126</c:f>
              <c:strCache>
                <c:ptCount val="1"/>
                <c:pt idx="0">
                  <c:v>DESTINO Y PROCEDENCIA</c:v>
                </c:pt>
              </c:strCache>
            </c:strRef>
          </c:tx>
          <c:explosion val="3"/>
          <c:dPt>
            <c:idx val="0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7934-4A50-A244-32ED2E931B3C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7934-4A50-A244-32ED2E931B3C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7934-4A50-A244-32ED2E931B3C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7934-4A50-A244-32ED2E931B3C}"/>
              </c:ext>
            </c:extLst>
          </c:dPt>
          <c:dLbls>
            <c:dLbl>
              <c:idx val="0"/>
              <c:layout>
                <c:manualLayout>
                  <c:x val="-0.15025229341657165"/>
                  <c:y val="7.5718563866818425E-2"/>
                </c:manualLayout>
              </c:layout>
              <c:tx>
                <c:rich>
                  <a:bodyPr/>
                  <a:lstStyle/>
                  <a:p>
                    <a:fld id="{5D66123C-6678-45D1-9749-44E3D4A02FF4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5EA3CEFB-8978-465B-9B1C-7943664C4374}" type="PERCENTAGE">
                      <a:rPr lang="en-US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7934-4A50-A244-32ED2E931B3C}"/>
                </c:ext>
              </c:extLst>
            </c:dLbl>
            <c:dLbl>
              <c:idx val="1"/>
              <c:layout>
                <c:manualLayout>
                  <c:x val="0.11293833062177355"/>
                  <c:y val="-0.1069339899936535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934-4A50-A244-32ED2E931B3C}"/>
                </c:ext>
              </c:extLst>
            </c:dLbl>
            <c:dLbl>
              <c:idx val="2"/>
              <c:layout>
                <c:manualLayout>
                  <c:x val="0.11059837076096191"/>
                  <c:y val="5.2896332735611881E-2"/>
                </c:manualLayout>
              </c:layout>
              <c:tx>
                <c:rich>
                  <a:bodyPr/>
                  <a:lstStyle/>
                  <a:p>
                    <a:fld id="{287A28FB-7BF2-4041-B9EC-79BA7A78B4E1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9F283B17-23C8-4DCD-A7BD-0091E226C7ED}" type="PERCENTAGE">
                      <a:rPr lang="en-US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7934-4A50-A244-32ED2E931B3C}"/>
                </c:ext>
              </c:extLst>
            </c:dLbl>
            <c:dLbl>
              <c:idx val="3"/>
              <c:layout>
                <c:manualLayout>
                  <c:x val="9.0006404100671691E-2"/>
                  <c:y val="1.9400503421231838E-3"/>
                </c:manualLayout>
              </c:layout>
              <c:tx>
                <c:rich>
                  <a:bodyPr/>
                  <a:lstStyle/>
                  <a:p>
                    <a:fld id="{D94B4BA1-A4A8-40F8-9140-D3173C51D519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51530DF1-FF6D-4789-883E-00A5036173B7}" type="PERCENTAGE">
                      <a:rPr lang="en-US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7934-4A50-A244-32ED2E931B3C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'DESTINO Y PROCE '!$B$127:$B$130</c:f>
              <c:strCache>
                <c:ptCount val="4"/>
                <c:pt idx="0">
                  <c:v>LATAM</c:v>
                </c:pt>
                <c:pt idx="1">
                  <c:v>AVIANCA</c:v>
                </c:pt>
                <c:pt idx="2">
                  <c:v>CLIC</c:v>
                </c:pt>
                <c:pt idx="3">
                  <c:v>JETSMART</c:v>
                </c:pt>
              </c:strCache>
            </c:strRef>
          </c:cat>
          <c:val>
            <c:numRef>
              <c:f>'DESTINO Y PROCE '!$C$127:$C$130</c:f>
              <c:numCache>
                <c:formatCode>#,##0</c:formatCode>
                <c:ptCount val="4"/>
                <c:pt idx="0">
                  <c:v>373</c:v>
                </c:pt>
                <c:pt idx="1">
                  <c:v>905</c:v>
                </c:pt>
                <c:pt idx="2">
                  <c:v>223</c:v>
                </c:pt>
                <c:pt idx="3">
                  <c:v>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934-4A50-A244-32ED2E931B3C}"/>
            </c:ext>
          </c:extLst>
        </c:ser>
        <c:dLbls>
          <c:dLblPos val="bestFit"/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>
                <a:solidFill>
                  <a:sysClr val="windowText" lastClr="000000"/>
                </a:solidFill>
              </a:rPr>
              <a:t>OPERACIONES COMERCIALES INTERNACIONALES POR DESTINO Y PROCEDENCIA NOVIEMBRE 2025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3892231662483168"/>
          <c:y val="5.92448303564550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352772742716053E-3"/>
          <c:y val="0.23145643662151566"/>
          <c:w val="0.93888888888888888"/>
          <c:h val="0.6714577865266842"/>
        </c:manualLayout>
      </c:layout>
      <c:pie3DChart>
        <c:varyColors val="1"/>
        <c:ser>
          <c:idx val="0"/>
          <c:order val="0"/>
          <c:tx>
            <c:strRef>
              <c:f>'DESTINO Y PROCE '!$C$136</c:f>
              <c:strCache>
                <c:ptCount val="1"/>
                <c:pt idx="0">
                  <c:v>DESTINO Y PROCEDENCIA</c:v>
                </c:pt>
              </c:strCache>
            </c:strRef>
          </c:tx>
          <c:dPt>
            <c:idx val="0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F478-4260-9E0E-ECB6FACECDD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2-AB9A-49B1-945F-1AC9392024FE}"/>
              </c:ext>
            </c:extLst>
          </c:dPt>
          <c:dLbls>
            <c:dLbl>
              <c:idx val="0"/>
              <c:layout>
                <c:manualLayout>
                  <c:x val="-0.10027381675876623"/>
                  <c:y val="-0.3216313953360405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3501809122485037"/>
                      <c:h val="0.167287574146829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478-4260-9E0E-ECB6FACECDD4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'DESTINO Y PROCE '!$B$137:$B$138</c:f>
              <c:strCache>
                <c:ptCount val="1"/>
                <c:pt idx="0">
                  <c:v>COPA</c:v>
                </c:pt>
              </c:strCache>
            </c:strRef>
          </c:cat>
          <c:val>
            <c:numRef>
              <c:f>'DESTINO Y PROCE '!$C$137:$C$138</c:f>
              <c:numCache>
                <c:formatCode>0</c:formatCode>
                <c:ptCount val="2"/>
                <c:pt idx="0">
                  <c:v>117</c:v>
                </c:pt>
                <c:pt idx="1">
                  <c:v>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78-4260-9E0E-ECB6FACECD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>
                <a:solidFill>
                  <a:sysClr val="windowText" lastClr="000000"/>
                </a:solidFill>
              </a:rPr>
              <a:t>PASAJEROS</a:t>
            </a:r>
            <a:r>
              <a:rPr lang="en-US" sz="1000" baseline="0">
                <a:solidFill>
                  <a:sysClr val="windowText" lastClr="000000"/>
                </a:solidFill>
              </a:rPr>
              <a:t> </a:t>
            </a:r>
            <a:r>
              <a:rPr lang="en-US" sz="1000">
                <a:solidFill>
                  <a:sysClr val="windowText" lastClr="000000"/>
                </a:solidFill>
              </a:rPr>
              <a:t>NACIONALES POR PROCEDENCIA NOVIEMBRE</a:t>
            </a:r>
          </a:p>
          <a:p>
            <a:pPr>
              <a:defRPr sz="1200">
                <a:solidFill>
                  <a:sysClr val="windowText" lastClr="000000"/>
                </a:solidFill>
              </a:defRPr>
            </a:pPr>
            <a:r>
              <a:rPr lang="en-US" sz="1000">
                <a:solidFill>
                  <a:sysClr val="windowText" lastClr="000000"/>
                </a:solidFill>
              </a:rPr>
              <a:t>E</a:t>
            </a:r>
          </a:p>
          <a:p>
            <a:pPr>
              <a:defRPr sz="1200">
                <a:solidFill>
                  <a:sysClr val="windowText" lastClr="000000"/>
                </a:solidFill>
              </a:defRPr>
            </a:pPr>
            <a:r>
              <a:rPr lang="en-US" sz="1000" baseline="0">
                <a:solidFill>
                  <a:sysClr val="windowText" lastClr="000000"/>
                </a:solidFill>
              </a:rPr>
              <a:t> </a:t>
            </a:r>
            <a:r>
              <a:rPr lang="en-US" sz="1000">
                <a:solidFill>
                  <a:sysClr val="windowText" lastClr="000000"/>
                </a:solidFill>
              </a:rPr>
              <a:t>2025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21841750496876994"/>
          <c:y val="2.911645929080936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5264435164873752"/>
          <c:y val="0.15537985508759128"/>
          <c:w val="0.69471129670252496"/>
          <c:h val="0.77693716914060873"/>
        </c:manualLayout>
      </c:layout>
      <c:pieChart>
        <c:varyColors val="1"/>
        <c:ser>
          <c:idx val="0"/>
          <c:order val="0"/>
          <c:tx>
            <c:strRef>
              <c:f>'DESTINO Y PROCE '!$C$34</c:f>
              <c:strCache>
                <c:ptCount val="1"/>
                <c:pt idx="0">
                  <c:v>PAX. NACIONALES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474-47B5-857F-18324ABC7AD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5474-47B5-857F-18324ABC7ADE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5474-47B5-857F-18324ABC7ADE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5474-47B5-857F-18324ABC7ADE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F0C5-4AAE-9A73-DEC9B9B3EF25}"/>
              </c:ext>
            </c:extLst>
          </c:dPt>
          <c:dLbls>
            <c:dLbl>
              <c:idx val="0"/>
              <c:layout>
                <c:manualLayout>
                  <c:x val="-0.22529918668400692"/>
                  <c:y val="-0.22397355732035359"/>
                </c:manualLayout>
              </c:layout>
              <c:tx>
                <c:rich>
                  <a:bodyPr/>
                  <a:lstStyle/>
                  <a:p>
                    <a:fld id="{4DB6C13F-7B68-4D7A-ADE3-E82DA5ECC2C6}" type="CATEGORYNAME">
                      <a:rPr lang="en-US" sz="1100" b="1"/>
                      <a:pPr/>
                      <a:t>[NOMBRE DE CATEGORÍA]</a:t>
                    </a:fld>
                    <a:r>
                      <a:rPr lang="en-US" sz="1100" b="1"/>
                      <a:t>
</a:t>
                    </a:r>
                    <a:fld id="{C85C0C69-6A89-47B8-999A-FCD18EAEB22F}" type="PERCENTAGE">
                      <a:rPr lang="en-US" sz="1100" b="1"/>
                      <a:pPr/>
                      <a:t>[PORCENTAJE]</a:t>
                    </a:fld>
                    <a:endParaRPr lang="en-US" sz="11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5474-47B5-857F-18324ABC7ADE}"/>
                </c:ext>
              </c:extLst>
            </c:dLbl>
            <c:dLbl>
              <c:idx val="1"/>
              <c:layout>
                <c:manualLayout>
                  <c:x val="8.2299591221029283E-2"/>
                  <c:y val="7.8999857414402574E-2"/>
                </c:manualLayout>
              </c:layout>
              <c:tx>
                <c:rich>
                  <a:bodyPr/>
                  <a:lstStyle/>
                  <a:p>
                    <a:fld id="{B56A142D-3651-4924-9291-536D6D9F6648}" type="CATEGORYNAME">
                      <a:rPr lang="en-US" sz="900" b="1"/>
                      <a:pPr/>
                      <a:t>[NOMBRE DE CATEGORÍA]</a:t>
                    </a:fld>
                    <a:r>
                      <a:rPr lang="en-US" sz="900" b="1"/>
                      <a:t>
</a:t>
                    </a:r>
                    <a:fld id="{6EE762EF-1455-4D46-8F07-CF65A42C3A57}" type="PERCENTAGE">
                      <a:rPr lang="en-US" sz="900" b="1"/>
                      <a:pPr/>
                      <a:t>[PORCENTAJE]</a:t>
                    </a:fld>
                    <a:endParaRPr lang="en-US" sz="9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5474-47B5-857F-18324ABC7ADE}"/>
                </c:ext>
              </c:extLst>
            </c:dLbl>
            <c:dLbl>
              <c:idx val="2"/>
              <c:layout>
                <c:manualLayout>
                  <c:x val="5.7791476166975504E-2"/>
                  <c:y val="0.12235363879414617"/>
                </c:manualLayout>
              </c:layout>
              <c:tx>
                <c:rich>
                  <a:bodyPr/>
                  <a:lstStyle/>
                  <a:p>
                    <a:fld id="{D1A13EEE-C838-4DC4-AE73-F11FF5EB6DF2}" type="CATEGORYNAME">
                      <a:rPr lang="en-US" sz="900" b="1"/>
                      <a:pPr/>
                      <a:t>[NOMBRE DE CATEGORÍA]</a:t>
                    </a:fld>
                    <a:r>
                      <a:rPr lang="en-US" sz="900" b="1"/>
                      <a:t>
</a:t>
                    </a:r>
                    <a:fld id="{0DBA6E8C-8B70-457A-AAF9-7938A79C1DDC}" type="PERCENTAGE">
                      <a:rPr lang="en-US" sz="900" b="1"/>
                      <a:pPr/>
                      <a:t>[PORCENTAJE]</a:t>
                    </a:fld>
                    <a:endParaRPr lang="en-US" sz="9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5474-47B5-857F-18324ABC7ADE}"/>
                </c:ext>
              </c:extLst>
            </c:dLbl>
            <c:dLbl>
              <c:idx val="3"/>
              <c:layout>
                <c:manualLayout>
                  <c:x val="-1.3139693565792148E-2"/>
                  <c:y val="5.4880148436030347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474-47B5-857F-18324ABC7ADE}"/>
                </c:ext>
              </c:extLst>
            </c:dLbl>
            <c:dLbl>
              <c:idx val="4"/>
              <c:layout>
                <c:manualLayout>
                  <c:x val="4.7095765604420685E-2"/>
                  <c:y val="4.353634109436965E-2"/>
                </c:manualLayout>
              </c:layout>
              <c:tx>
                <c:rich>
                  <a:bodyPr/>
                  <a:lstStyle/>
                  <a:p>
                    <a:fld id="{86BC370F-064F-48BE-95E6-489855197219}" type="CATEGORYNAME">
                      <a:rPr lang="en-US" sz="900" b="1"/>
                      <a:pPr/>
                      <a:t>[NOMBRE DE CATEGORÍA]</a:t>
                    </a:fld>
                    <a:r>
                      <a:rPr lang="en-US" sz="900" b="1"/>
                      <a:t>
</a:t>
                    </a:r>
                    <a:fld id="{228EFB72-E0B5-47D2-A297-CB1B4EB57B6F}" type="PERCENTAGE">
                      <a:rPr lang="en-US" sz="900" b="1"/>
                      <a:pPr/>
                      <a:t>[PORCENTAJE]</a:t>
                    </a:fld>
                    <a:endParaRPr lang="en-US" sz="9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8-F0C5-4AAE-9A73-DEC9B9B3EF2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'!$B$35:$B$39</c:f>
              <c:strCache>
                <c:ptCount val="5"/>
                <c:pt idx="0">
                  <c:v>BOGOTÁ</c:v>
                </c:pt>
                <c:pt idx="1">
                  <c:v>RIO NEGRO</c:v>
                </c:pt>
                <c:pt idx="2">
                  <c:v>CARTAGENA</c:v>
                </c:pt>
                <c:pt idx="3">
                  <c:v>MEDELLIN</c:v>
                </c:pt>
                <c:pt idx="4">
                  <c:v>SANTA MARTA</c:v>
                </c:pt>
              </c:strCache>
            </c:strRef>
          </c:cat>
          <c:val>
            <c:numRef>
              <c:f>'DESTINO Y PROCE '!$C$35:$C$39</c:f>
              <c:numCache>
                <c:formatCode>#,##0</c:formatCode>
                <c:ptCount val="5"/>
                <c:pt idx="0">
                  <c:v>90556</c:v>
                </c:pt>
                <c:pt idx="1">
                  <c:v>7741</c:v>
                </c:pt>
                <c:pt idx="2">
                  <c:v>8992</c:v>
                </c:pt>
                <c:pt idx="3">
                  <c:v>3031</c:v>
                </c:pt>
                <c:pt idx="4">
                  <c:v>2523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474-47B5-857F-18324ABC7ADE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>
                <a:solidFill>
                  <a:sysClr val="windowText" lastClr="000000"/>
                </a:solidFill>
              </a:rPr>
              <a:t>PASAJEROS INTERNACIONALES POR PROCEDENCIA</a:t>
            </a:r>
            <a:r>
              <a:rPr lang="en-US" sz="1200" baseline="0">
                <a:solidFill>
                  <a:sysClr val="windowText" lastClr="000000"/>
                </a:solidFill>
              </a:rPr>
              <a:t> NOVIEMBRE</a:t>
            </a:r>
            <a:r>
              <a:rPr lang="en-US" sz="1200">
                <a:solidFill>
                  <a:sysClr val="windowText" lastClr="000000"/>
                </a:solidFill>
              </a:rPr>
              <a:t> 2025</a:t>
            </a:r>
            <a:endParaRPr lang="es-CO" sz="12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8373964087034286"/>
          <c:y val="4.7642304580642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'DESTINO Y PROCE '!$C$44</c:f>
              <c:strCache>
                <c:ptCount val="1"/>
                <c:pt idx="0">
                  <c:v>PAX. INTERNACIONALES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3C7-49DF-9B7C-4C6821D68E86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6F60-41B2-92C6-986EE668085A}"/>
              </c:ext>
            </c:extLst>
          </c:dPt>
          <c:dLbls>
            <c:dLbl>
              <c:idx val="0"/>
              <c:layout>
                <c:manualLayout>
                  <c:x val="-0.1575563788882538"/>
                  <c:y val="-0.23705637270636296"/>
                </c:manualLayout>
              </c:layout>
              <c:tx>
                <c:rich>
                  <a:bodyPr/>
                  <a:lstStyle/>
                  <a:p>
                    <a:fld id="{6B0BDF32-EF81-4EDC-B721-ABA4843EE49C}" type="CATEGORYNAME">
                      <a:rPr lang="en-US" sz="11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1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46BD8344-691E-4DDE-B7A8-23B4FC52BB7E}" type="PERCENTAGE">
                      <a:rPr lang="en-US" sz="11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1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23C7-49DF-9B7C-4C6821D68E86}"/>
                </c:ext>
              </c:extLst>
            </c:dLbl>
            <c:dLbl>
              <c:idx val="1"/>
              <c:layout>
                <c:manualLayout>
                  <c:x val="0.15149081326284569"/>
                  <c:y val="0.1465695934837816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aseline="0"/>
                      <a:t>GUAYAQUIL
</a:t>
                    </a:r>
                    <a:fld id="{0F112395-F86F-4A14-976A-AF9F54FBCDD0}" type="PERCENTAGE">
                      <a:rPr lang="en-US" baseline="0"/>
                      <a:pPr>
                        <a:defRPr sz="1000" b="1">
                          <a:solidFill>
                            <a:sysClr val="windowText" lastClr="000000"/>
                          </a:solidFill>
                        </a:defRPr>
                      </a:pPr>
                      <a:t>[PORCENTAJE]</a:t>
                    </a:fld>
                    <a:endParaRPr lang="en-US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6F60-41B2-92C6-986EE668085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'!$B$45:$B$46</c:f>
              <c:strCache>
                <c:ptCount val="2"/>
                <c:pt idx="0">
                  <c:v>PANAMA</c:v>
                </c:pt>
                <c:pt idx="1">
                  <c:v>PANAMA</c:v>
                </c:pt>
              </c:strCache>
            </c:strRef>
          </c:cat>
          <c:val>
            <c:numRef>
              <c:f>'DESTINO Y PROCE '!$C$45:$C$46</c:f>
              <c:numCache>
                <c:formatCode>#,##0</c:formatCode>
                <c:ptCount val="2"/>
                <c:pt idx="0">
                  <c:v>8260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C7-49DF-9B7C-4C6821D68E86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OPERACIONES COMERCIALES NACIONALES E INTERNACIONALES POR DESTINO Y PROCEDENCIA NOVIEMBRE 2025</a:t>
            </a:r>
            <a:endParaRPr lang="es-CO" sz="1200" b="1"/>
          </a:p>
        </c:rich>
      </c:tx>
      <c:layout>
        <c:manualLayout>
          <c:xMode val="edge"/>
          <c:yMode val="edge"/>
          <c:x val="0.14618615554646808"/>
          <c:y val="2.06708883293914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9881984635042175"/>
          <c:y val="0.13770846912169779"/>
          <c:w val="0.67612349872780753"/>
          <c:h val="0.6875472329771731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'!$B$142:$B$148</c:f>
              <c:strCache>
                <c:ptCount val="7"/>
                <c:pt idx="0">
                  <c:v>AVIANCA</c:v>
                </c:pt>
                <c:pt idx="1">
                  <c:v>LATAM</c:v>
                </c:pt>
                <c:pt idx="2">
                  <c:v>CLIC</c:v>
                </c:pt>
                <c:pt idx="3">
                  <c:v>JETSMART</c:v>
                </c:pt>
                <c:pt idx="4">
                  <c:v>COPA</c:v>
                </c:pt>
                <c:pt idx="5">
                  <c:v>GENERAL</c:v>
                </c:pt>
                <c:pt idx="6">
                  <c:v>ESTATAL</c:v>
                </c:pt>
              </c:strCache>
            </c:strRef>
          </c:cat>
          <c:val>
            <c:numRef>
              <c:f>'DESTINO Y PROCE '!$C$142:$C$148</c:f>
              <c:numCache>
                <c:formatCode>#,##0</c:formatCode>
                <c:ptCount val="7"/>
                <c:pt idx="0">
                  <c:v>905</c:v>
                </c:pt>
                <c:pt idx="1">
                  <c:v>373</c:v>
                </c:pt>
                <c:pt idx="2">
                  <c:v>223</c:v>
                </c:pt>
                <c:pt idx="3">
                  <c:v>195</c:v>
                </c:pt>
                <c:pt idx="4">
                  <c:v>117</c:v>
                </c:pt>
                <c:pt idx="5">
                  <c:v>379</c:v>
                </c:pt>
                <c:pt idx="6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B6-4F2B-A6DC-DAB8752D7B7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75716464"/>
        <c:axId val="575717448"/>
      </c:barChart>
      <c:catAx>
        <c:axId val="575716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5717448"/>
        <c:crosses val="autoZero"/>
        <c:auto val="1"/>
        <c:lblAlgn val="ctr"/>
        <c:lblOffset val="100"/>
        <c:noMultiLvlLbl val="0"/>
      </c:catAx>
      <c:valAx>
        <c:axId val="575717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5716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0">
          <a:solidFill>
            <a:sysClr val="windowText" lastClr="000000"/>
          </a:solidFill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900" b="1" i="0" baseline="0">
                <a:solidFill>
                  <a:sysClr val="windowText" lastClr="000000"/>
                </a:solidFill>
                <a:effectLst/>
              </a:rPr>
              <a:t>OPERACIONES COMERCIALES NACIONALES E INTERNACIONALES POR DESTINO Y PROCEDENCIA NOVIEMBRE 2025</a:t>
            </a:r>
            <a:endParaRPr lang="es-CO" sz="90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4299060488365109"/>
          <c:y val="1.8987286351916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5038347535868261"/>
          <c:y val="0.12203538245057878"/>
          <c:w val="0.56071372751880033"/>
          <c:h val="0.77642149285358464"/>
        </c:manualLayout>
      </c:layout>
      <c:pieChart>
        <c:varyColors val="1"/>
        <c:ser>
          <c:idx val="0"/>
          <c:order val="0"/>
          <c:tx>
            <c:strRef>
              <c:f>'DESTINO Y PROCE '!$C$141</c:f>
              <c:strCache>
                <c:ptCount val="1"/>
                <c:pt idx="0">
                  <c:v>DESTINO Y PROCEDENCIA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31B3-45E1-998E-FDC4FE910CC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31B3-45E1-998E-FDC4FE910CC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1B3-45E1-998E-FDC4FE910CC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31B3-45E1-998E-FDC4FE910CC9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31B3-45E1-998E-FDC4FE910CC9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6568-4A54-BD26-7A0A85DA4CC3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6568-4A54-BD26-7A0A85DA4CC3}"/>
              </c:ext>
            </c:extLst>
          </c:dPt>
          <c:dLbls>
            <c:dLbl>
              <c:idx val="0"/>
              <c:layout>
                <c:manualLayout>
                  <c:x val="-0.18207986853256317"/>
                  <c:y val="-5.7813933341230077E-2"/>
                </c:manualLayout>
              </c:layout>
              <c:tx>
                <c:rich>
                  <a:bodyPr/>
                  <a:lstStyle/>
                  <a:p>
                    <a:fld id="{25C18FAE-FB2D-4A71-8826-1DEF263C9D3E}" type="CATEGORYNAME">
                      <a:rPr lang="en-US" sz="12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2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92C43D30-CB5C-427F-B1E4-D36727952C55}" type="PERCENTAGE">
                      <a:rPr lang="en-US" sz="12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2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31B3-45E1-998E-FDC4FE910CC9}"/>
                </c:ext>
              </c:extLst>
            </c:dLbl>
            <c:dLbl>
              <c:idx val="1"/>
              <c:layout>
                <c:manualLayout>
                  <c:x val="0.12831066265970478"/>
                  <c:y val="-0.14051992635452693"/>
                </c:manualLayout>
              </c:layout>
              <c:tx>
                <c:rich>
                  <a:bodyPr/>
                  <a:lstStyle/>
                  <a:p>
                    <a:fld id="{54A61B88-5ACB-46DA-BBBB-319D1C3B9361}" type="CATEGORYNAME">
                      <a:rPr lang="en-US" sz="12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2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EBB07AC1-4DF6-49F2-9A79-B63D152EC7BD}" type="PERCENTAGE">
                      <a:rPr lang="en-US" sz="12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2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31B3-45E1-998E-FDC4FE910CC9}"/>
                </c:ext>
              </c:extLst>
            </c:dLbl>
            <c:dLbl>
              <c:idx val="2"/>
              <c:layout>
                <c:manualLayout>
                  <c:x val="9.0853355142786585E-2"/>
                  <c:y val="5.7378021105631283E-2"/>
                </c:manualLayout>
              </c:layout>
              <c:tx>
                <c:rich>
                  <a:bodyPr/>
                  <a:lstStyle/>
                  <a:p>
                    <a:fld id="{1D3CFB00-DB5D-4154-9B8E-0B0603E87519}" type="CATEGORYNAME">
                      <a:rPr lang="en-US" sz="10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0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E1CE35B7-9171-4A55-BF70-701D2AE9C6EF}" type="PERCENTAGE">
                      <a:rPr lang="en-US" sz="10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0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31B3-45E1-998E-FDC4FE910CC9}"/>
                </c:ext>
              </c:extLst>
            </c:dLbl>
            <c:dLbl>
              <c:idx val="3"/>
              <c:layout>
                <c:manualLayout>
                  <c:x val="7.9175058341587834E-2"/>
                  <c:y val="0.14669986798136156"/>
                </c:manualLayout>
              </c:layout>
              <c:tx>
                <c:rich>
                  <a:bodyPr/>
                  <a:lstStyle/>
                  <a:p>
                    <a:fld id="{F3013263-85CA-4924-8171-C35877FAAE03}" type="CATEGORYNAME">
                      <a:rPr lang="en-US" sz="1200" b="1"/>
                      <a:pPr/>
                      <a:t>[NOMBRE DE CATEGORÍA]</a:t>
                    </a:fld>
                    <a:r>
                      <a:rPr lang="en-US" sz="1200" b="1" baseline="0"/>
                      <a:t>
</a:t>
                    </a:r>
                    <a:fld id="{7D0102DF-CD1F-462C-9389-2ADDF1243D83}" type="PERCENTAGE">
                      <a:rPr lang="en-US" sz="1200" b="1" baseline="0"/>
                      <a:pPr/>
                      <a:t>[PORCENTAJE]</a:t>
                    </a:fld>
                    <a:endParaRPr lang="en-US" sz="1200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31B3-45E1-998E-FDC4FE910CC9}"/>
                </c:ext>
              </c:extLst>
            </c:dLbl>
            <c:dLbl>
              <c:idx val="4"/>
              <c:layout>
                <c:manualLayout>
                  <c:x val="2.53942884005171E-2"/>
                  <c:y val="0.15108631525516553"/>
                </c:manualLayout>
              </c:layout>
              <c:tx>
                <c:rich>
                  <a:bodyPr/>
                  <a:lstStyle/>
                  <a:p>
                    <a:fld id="{21AA03D3-6EBE-42F4-8123-E75C7316FB3D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E0239839-61CC-4EB7-8685-A1C2A0DE5F0A}" type="PERCENTAGE">
                      <a:rPr lang="en-US" sz="1100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31B3-45E1-998E-FDC4FE910C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'!$B$142:$B$148</c:f>
              <c:strCache>
                <c:ptCount val="7"/>
                <c:pt idx="0">
                  <c:v>AVIANCA</c:v>
                </c:pt>
                <c:pt idx="1">
                  <c:v>LATAM</c:v>
                </c:pt>
                <c:pt idx="2">
                  <c:v>CLIC</c:v>
                </c:pt>
                <c:pt idx="3">
                  <c:v>JETSMART</c:v>
                </c:pt>
                <c:pt idx="4">
                  <c:v>COPA</c:v>
                </c:pt>
                <c:pt idx="5">
                  <c:v>GENERAL</c:v>
                </c:pt>
                <c:pt idx="6">
                  <c:v>ESTATAL</c:v>
                </c:pt>
              </c:strCache>
            </c:strRef>
          </c:cat>
          <c:val>
            <c:numRef>
              <c:f>'DESTINO Y PROCE '!$C$142:$C$148</c:f>
              <c:numCache>
                <c:formatCode>#,##0</c:formatCode>
                <c:ptCount val="7"/>
                <c:pt idx="0">
                  <c:v>905</c:v>
                </c:pt>
                <c:pt idx="1">
                  <c:v>373</c:v>
                </c:pt>
                <c:pt idx="2">
                  <c:v>223</c:v>
                </c:pt>
                <c:pt idx="3">
                  <c:v>195</c:v>
                </c:pt>
                <c:pt idx="4">
                  <c:v>117</c:v>
                </c:pt>
                <c:pt idx="5">
                  <c:v>379</c:v>
                </c:pt>
                <c:pt idx="6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31B3-45E1-998E-FDC4FE910CC9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000">
                <a:solidFill>
                  <a:schemeClr val="tx1"/>
                </a:solidFill>
              </a:rPr>
              <a:t>PASAJEROS NACIONALES</a:t>
            </a:r>
            <a:r>
              <a:rPr lang="es-CO" sz="1000" baseline="0">
                <a:solidFill>
                  <a:schemeClr val="tx1"/>
                </a:solidFill>
              </a:rPr>
              <a:t> POR DESTINO NOVIEMBRE 2025</a:t>
            </a:r>
            <a:endParaRPr lang="es-CO" sz="1000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4432305336832896"/>
          <c:y val="0.11279993728524146"/>
          <c:w val="0.49190966754155729"/>
          <c:h val="0.7407887698421064"/>
        </c:manualLayout>
      </c:layout>
      <c:pieChart>
        <c:varyColors val="1"/>
        <c:ser>
          <c:idx val="0"/>
          <c:order val="0"/>
          <c:explosion val="12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A444-4A29-9243-CC449C88C12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A444-4A29-9243-CC449C88C12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A444-4A29-9243-CC449C88C12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A444-4A29-9243-CC449C88C121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A444-4A29-9243-CC449C88C121}"/>
              </c:ext>
            </c:extLst>
          </c:dPt>
          <c:dLbls>
            <c:dLbl>
              <c:idx val="0"/>
              <c:layout>
                <c:manualLayout>
                  <c:x val="-0.16231561679790027"/>
                  <c:y val="-0.13961642546957018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BOGOTÁ </a:t>
                    </a:r>
                    <a:fld id="{2F5D4EC8-26A5-43D5-B953-81117BA896E6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A444-4A29-9243-CC449C88C121}"/>
                </c:ext>
              </c:extLst>
            </c:dLbl>
            <c:dLbl>
              <c:idx val="1"/>
              <c:layout>
                <c:manualLayout>
                  <c:x val="0.14309230096237968"/>
                  <c:y val="1.5935938718721673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RIO NEGRO </a:t>
                    </a:r>
                    <a:fld id="{EDE6B981-03EE-4EB0-AB91-9821EE0D037B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A444-4A29-9243-CC449C88C121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CARTAGENA </a:t>
                    </a:r>
                    <a:fld id="{EF6AD297-8B4D-47C7-895A-2434D99D4F2F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A444-4A29-9243-CC449C88C121}"/>
                </c:ext>
              </c:extLst>
            </c:dLbl>
            <c:dLbl>
              <c:idx val="3"/>
              <c:layout>
                <c:manualLayout>
                  <c:x val="-5.7694663167104114E-3"/>
                  <c:y val="5.4265064717414678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MEDELLÍN</a:t>
                    </a:r>
                    <a:r>
                      <a:rPr lang="en-US" baseline="0"/>
                      <a:t> </a:t>
                    </a:r>
                    <a:fld id="{A3AA201F-D82D-4BE5-B422-085615ACC214}" type="PERCENTAGE">
                      <a:rPr lang="en-US"/>
                      <a:pPr/>
                      <a:t>[PORCENTAJE]</a:t>
                    </a:fld>
                    <a:endParaRPr lang="en-US" baseline="0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A444-4A29-9243-CC449C88C121}"/>
                </c:ext>
              </c:extLst>
            </c:dLbl>
            <c:dLbl>
              <c:idx val="4"/>
              <c:layout>
                <c:manualLayout>
                  <c:x val="9.4966535433070862E-2"/>
                  <c:y val="0.1085423166515589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SANTA MARTA </a:t>
                    </a:r>
                    <a:fld id="{1A044843-7A30-496E-AAE0-F4B78F5578F4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A444-4A29-9243-CC449C88C12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'DESTINO Y PROCE '!$C$75:$C$79</c:f>
              <c:numCache>
                <c:formatCode>#,##0</c:formatCode>
                <c:ptCount val="5"/>
                <c:pt idx="0">
                  <c:v>80882</c:v>
                </c:pt>
                <c:pt idx="1">
                  <c:v>3382</c:v>
                </c:pt>
                <c:pt idx="2">
                  <c:v>9785</c:v>
                </c:pt>
                <c:pt idx="3">
                  <c:v>3200</c:v>
                </c:pt>
                <c:pt idx="4">
                  <c:v>2599</c:v>
                </c:pt>
              </c:numCache>
            </c:numRef>
          </c:cat>
          <c:val>
            <c:numRef>
              <c:f>'DESTINO Y PROCE '!$D$75:$D$79</c:f>
              <c:numCache>
                <c:formatCode>0.00%</c:formatCode>
                <c:ptCount val="5"/>
                <c:pt idx="0">
                  <c:v>0.71597900271760784</c:v>
                </c:pt>
                <c:pt idx="1">
                  <c:v>2.9937946479945472E-2</c:v>
                </c:pt>
                <c:pt idx="2">
                  <c:v>8.6618215939168075E-2</c:v>
                </c:pt>
                <c:pt idx="3">
                  <c:v>2.8326856515619607E-2</c:v>
                </c:pt>
                <c:pt idx="4">
                  <c:v>2.30067187762798E-2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44-4A29-9243-CC449C88C121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8.4730314960629924E-2"/>
          <c:y val="0.89393518518518522"/>
          <c:w val="0.88642979002624678"/>
          <c:h val="7.05916531399540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CO" sz="1000" b="1" i="0" u="none" strike="noStrike" kern="1200" cap="all" spc="50" baseline="0">
                <a:solidFill>
                  <a:schemeClr val="tx1"/>
                </a:solidFill>
              </a:rPr>
              <a:t>PASAJEROS INTERNACIONALES POR DESTINO NOVIEMBRE 2025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>
                    <a:lumMod val="65000"/>
                    <a:lumOff val="35000"/>
                  </a:sysClr>
                </a:solidFill>
              </a:defRPr>
            </a:pPr>
            <a:r>
              <a:rPr lang="en-US"/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1"/>
          <c:order val="1"/>
          <c:tx>
            <c:strRef>
              <c:f>'DESTINO Y PROCE '!$D$84</c:f>
              <c:strCache>
                <c:ptCount val="1"/>
                <c:pt idx="0">
                  <c:v>PORCENTAJE 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61E-412D-AB0A-155E407A9CA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61E-412D-AB0A-155E407A9CA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61E-412D-AB0A-155E407A9CA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61E-412D-AB0A-155E407A9CA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661E-412D-AB0A-155E407A9CA8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661E-412D-AB0A-155E407A9CA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'!$B$85:$B$86</c:f>
              <c:strCache>
                <c:ptCount val="2"/>
                <c:pt idx="0">
                  <c:v>PANAMA</c:v>
                </c:pt>
                <c:pt idx="1">
                  <c:v>GUAYAQUIL</c:v>
                </c:pt>
              </c:strCache>
            </c:strRef>
          </c:cat>
          <c:val>
            <c:numRef>
              <c:f>'DESTINO Y PROCE '!$D$85:$D$86</c:f>
              <c:numCache>
                <c:formatCode>0.0%</c:formatCode>
                <c:ptCount val="2"/>
                <c:pt idx="0">
                  <c:v>1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94-4A9E-8A67-33C1A1665A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'DESTINO Y PROCE '!$C$84</c15:sqref>
                        </c15:formulaRef>
                      </c:ext>
                    </c:extLst>
                    <c:strCache>
                      <c:ptCount val="1"/>
                      <c:pt idx="0">
                        <c:v>PAX. INTERNACIONALES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D-661E-412D-AB0A-155E407A9CA8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F-661E-412D-AB0A-155E407A9CA8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1-661E-412D-AB0A-155E407A9CA8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3-661E-412D-AB0A-155E407A9CA8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5-661E-412D-AB0A-155E407A9CA8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7-661E-412D-AB0A-155E407A9CA8}"/>
                    </c:ext>
                  </c:extLst>
                </c:dPt>
                <c:cat>
                  <c:strRef>
                    <c:extLst>
                      <c:ext uri="{02D57815-91ED-43cb-92C2-25804820EDAC}">
                        <c15:formulaRef>
                          <c15:sqref>'DESTINO Y PROCE '!$B$85:$B$86</c15:sqref>
                        </c15:formulaRef>
                      </c:ext>
                    </c:extLst>
                    <c:strCache>
                      <c:ptCount val="2"/>
                      <c:pt idx="0">
                        <c:v>PANAMA</c:v>
                      </c:pt>
                      <c:pt idx="1">
                        <c:v>GUAYAQUIL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'DESTINO Y PROCE '!$C$85:$C$86</c15:sqref>
                        </c15:formulaRef>
                      </c:ext>
                    </c:extLst>
                    <c:numCache>
                      <c:formatCode>#,##0</c:formatCode>
                      <c:ptCount val="2"/>
                      <c:pt idx="0">
                        <c:v>8260</c:v>
                      </c:pt>
                      <c:pt idx="1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F994-4A9E-8A67-33C1A1665A1C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>
                <a:latin typeface="Arial" panose="020B0604020202020204" pitchFamily="34" charset="0"/>
                <a:cs typeface="Arial" panose="020B0604020202020204" pitchFamily="34" charset="0"/>
              </a:rPr>
              <a:t>COMPARATIVO OPERACIÓN ANUAL DESTINO Y PROCEDENCIA 2016 - 2025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'!$C$3:$C$15</c:f>
              <c:numCache>
                <c:formatCode>#,##0</c:formatCode>
                <c:ptCount val="13"/>
                <c:pt idx="0" formatCode="General">
                  <c:v>2016</c:v>
                </c:pt>
                <c:pt idx="1">
                  <c:v>1727</c:v>
                </c:pt>
                <c:pt idx="2">
                  <c:v>1809</c:v>
                </c:pt>
                <c:pt idx="3">
                  <c:v>1740</c:v>
                </c:pt>
                <c:pt idx="4">
                  <c:v>1678</c:v>
                </c:pt>
                <c:pt idx="5">
                  <c:v>1583</c:v>
                </c:pt>
                <c:pt idx="6">
                  <c:v>1721</c:v>
                </c:pt>
                <c:pt idx="7">
                  <c:v>1748</c:v>
                </c:pt>
                <c:pt idx="8">
                  <c:v>1919</c:v>
                </c:pt>
                <c:pt idx="9">
                  <c:v>1857</c:v>
                </c:pt>
                <c:pt idx="10">
                  <c:v>1920</c:v>
                </c:pt>
                <c:pt idx="11">
                  <c:v>1737</c:v>
                </c:pt>
                <c:pt idx="12">
                  <c:v>1873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8E-43F7-8A6F-D792D1FC2445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'!$D$3:$D$15</c:f>
              <c:numCache>
                <c:formatCode>#,##0</c:formatCode>
                <c:ptCount val="13"/>
                <c:pt idx="0" formatCode="General">
                  <c:v>2017</c:v>
                </c:pt>
                <c:pt idx="1">
                  <c:v>1818</c:v>
                </c:pt>
                <c:pt idx="2">
                  <c:v>1594</c:v>
                </c:pt>
                <c:pt idx="3">
                  <c:v>1763</c:v>
                </c:pt>
                <c:pt idx="4">
                  <c:v>1688</c:v>
                </c:pt>
                <c:pt idx="5">
                  <c:v>1772</c:v>
                </c:pt>
                <c:pt idx="6">
                  <c:v>1822</c:v>
                </c:pt>
                <c:pt idx="7">
                  <c:v>1863</c:v>
                </c:pt>
                <c:pt idx="8">
                  <c:v>2036</c:v>
                </c:pt>
                <c:pt idx="9">
                  <c:v>1414</c:v>
                </c:pt>
                <c:pt idx="10">
                  <c:v>1541</c:v>
                </c:pt>
                <c:pt idx="11">
                  <c:v>2158</c:v>
                </c:pt>
                <c:pt idx="12">
                  <c:v>2431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58E-43F7-8A6F-D792D1FC2445}"/>
            </c:ext>
          </c:extLst>
        </c:ser>
        <c:ser>
          <c:idx val="2"/>
          <c:order val="2"/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'!$E$3:$E$15</c:f>
              <c:numCache>
                <c:formatCode>#,##0</c:formatCode>
                <c:ptCount val="13"/>
                <c:pt idx="0" formatCode="General">
                  <c:v>2018</c:v>
                </c:pt>
                <c:pt idx="1">
                  <c:v>2399</c:v>
                </c:pt>
                <c:pt idx="2">
                  <c:v>2287</c:v>
                </c:pt>
                <c:pt idx="3">
                  <c:v>2327</c:v>
                </c:pt>
                <c:pt idx="4">
                  <c:v>2096</c:v>
                </c:pt>
                <c:pt idx="5">
                  <c:v>2249</c:v>
                </c:pt>
                <c:pt idx="6">
                  <c:v>2153</c:v>
                </c:pt>
                <c:pt idx="7">
                  <c:v>2164</c:v>
                </c:pt>
                <c:pt idx="8">
                  <c:v>2719</c:v>
                </c:pt>
                <c:pt idx="9">
                  <c:v>2257</c:v>
                </c:pt>
                <c:pt idx="10">
                  <c:v>2298</c:v>
                </c:pt>
                <c:pt idx="11">
                  <c:v>2294</c:v>
                </c:pt>
                <c:pt idx="12">
                  <c:v>2450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58E-43F7-8A6F-D792D1FC2445}"/>
            </c:ext>
          </c:extLst>
        </c:ser>
        <c:ser>
          <c:idx val="3"/>
          <c:order val="3"/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'!$F$3:$F$15</c:f>
              <c:numCache>
                <c:formatCode>#,##0</c:formatCode>
                <c:ptCount val="13"/>
                <c:pt idx="0" formatCode="General">
                  <c:v>2019</c:v>
                </c:pt>
                <c:pt idx="1">
                  <c:v>2241</c:v>
                </c:pt>
                <c:pt idx="2">
                  <c:v>2053</c:v>
                </c:pt>
                <c:pt idx="3">
                  <c:v>2123</c:v>
                </c:pt>
                <c:pt idx="4">
                  <c:v>2020</c:v>
                </c:pt>
                <c:pt idx="5">
                  <c:v>2076</c:v>
                </c:pt>
                <c:pt idx="6">
                  <c:v>1938</c:v>
                </c:pt>
                <c:pt idx="7">
                  <c:v>2244</c:v>
                </c:pt>
                <c:pt idx="8">
                  <c:v>2475</c:v>
                </c:pt>
                <c:pt idx="9">
                  <c:v>2049</c:v>
                </c:pt>
                <c:pt idx="10">
                  <c:v>2382</c:v>
                </c:pt>
                <c:pt idx="11">
                  <c:v>2186</c:v>
                </c:pt>
                <c:pt idx="12">
                  <c:v>2342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58E-43F7-8A6F-D792D1FC2445}"/>
            </c:ext>
          </c:extLst>
        </c:ser>
        <c:ser>
          <c:idx val="4"/>
          <c:order val="4"/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'!$G$3:$G$15</c:f>
              <c:numCache>
                <c:formatCode>#,##0</c:formatCode>
                <c:ptCount val="13"/>
                <c:pt idx="0" formatCode="General">
                  <c:v>2020</c:v>
                </c:pt>
                <c:pt idx="1">
                  <c:v>2333</c:v>
                </c:pt>
                <c:pt idx="2">
                  <c:v>2061</c:v>
                </c:pt>
                <c:pt idx="3">
                  <c:v>1476</c:v>
                </c:pt>
                <c:pt idx="4">
                  <c:v>60</c:v>
                </c:pt>
                <c:pt idx="5">
                  <c:v>123</c:v>
                </c:pt>
                <c:pt idx="6">
                  <c:v>241</c:v>
                </c:pt>
                <c:pt idx="7">
                  <c:v>292</c:v>
                </c:pt>
                <c:pt idx="8">
                  <c:v>335</c:v>
                </c:pt>
                <c:pt idx="9">
                  <c:v>777</c:v>
                </c:pt>
                <c:pt idx="10">
                  <c:v>956</c:v>
                </c:pt>
                <c:pt idx="11">
                  <c:v>978</c:v>
                </c:pt>
                <c:pt idx="12">
                  <c:v>1308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58E-43F7-8A6F-D792D1FC2445}"/>
            </c:ext>
          </c:extLst>
        </c:ser>
        <c:ser>
          <c:idx val="5"/>
          <c:order val="5"/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'!$H$3:$H$15</c:f>
              <c:numCache>
                <c:formatCode>#,##0</c:formatCode>
                <c:ptCount val="13"/>
                <c:pt idx="0" formatCode="General">
                  <c:v>2021</c:v>
                </c:pt>
                <c:pt idx="1">
                  <c:v>1418</c:v>
                </c:pt>
                <c:pt idx="2">
                  <c:v>1266</c:v>
                </c:pt>
                <c:pt idx="3">
                  <c:v>1547</c:v>
                </c:pt>
                <c:pt idx="4">
                  <c:v>1441</c:v>
                </c:pt>
                <c:pt idx="5">
                  <c:v>2005</c:v>
                </c:pt>
                <c:pt idx="6">
                  <c:v>1773</c:v>
                </c:pt>
                <c:pt idx="7">
                  <c:v>1894</c:v>
                </c:pt>
                <c:pt idx="8">
                  <c:v>1898</c:v>
                </c:pt>
                <c:pt idx="9">
                  <c:v>1854</c:v>
                </c:pt>
                <c:pt idx="10">
                  <c:v>1988</c:v>
                </c:pt>
                <c:pt idx="11">
                  <c:v>2092</c:v>
                </c:pt>
                <c:pt idx="12">
                  <c:v>2284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58E-43F7-8A6F-D792D1FC2445}"/>
            </c:ext>
          </c:extLst>
        </c:ser>
        <c:ser>
          <c:idx val="6"/>
          <c:order val="6"/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'!$I$3:$I$15</c:f>
              <c:numCache>
                <c:formatCode>#,##0</c:formatCode>
                <c:ptCount val="13"/>
                <c:pt idx="0" formatCode="General">
                  <c:v>2022</c:v>
                </c:pt>
                <c:pt idx="1">
                  <c:v>2314</c:v>
                </c:pt>
                <c:pt idx="2">
                  <c:v>2128</c:v>
                </c:pt>
                <c:pt idx="3">
                  <c:v>2452</c:v>
                </c:pt>
                <c:pt idx="4">
                  <c:v>2299</c:v>
                </c:pt>
                <c:pt idx="5">
                  <c:v>2424</c:v>
                </c:pt>
                <c:pt idx="6">
                  <c:v>2298</c:v>
                </c:pt>
                <c:pt idx="7">
                  <c:v>2307</c:v>
                </c:pt>
                <c:pt idx="8">
                  <c:v>2374</c:v>
                </c:pt>
                <c:pt idx="9">
                  <c:v>2235</c:v>
                </c:pt>
                <c:pt idx="10">
                  <c:v>2193</c:v>
                </c:pt>
                <c:pt idx="11">
                  <c:v>2084</c:v>
                </c:pt>
                <c:pt idx="12">
                  <c:v>2074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58E-43F7-8A6F-D792D1FC2445}"/>
            </c:ext>
          </c:extLst>
        </c:ser>
        <c:ser>
          <c:idx val="7"/>
          <c:order val="7"/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'!$J$3:$J$15</c:f>
              <c:numCache>
                <c:formatCode>#,##0</c:formatCode>
                <c:ptCount val="13"/>
                <c:pt idx="0" formatCode="General">
                  <c:v>2023</c:v>
                </c:pt>
                <c:pt idx="1">
                  <c:v>2050</c:v>
                </c:pt>
                <c:pt idx="2">
                  <c:v>1957</c:v>
                </c:pt>
                <c:pt idx="3">
                  <c:v>1776</c:v>
                </c:pt>
                <c:pt idx="4">
                  <c:v>1676</c:v>
                </c:pt>
                <c:pt idx="5">
                  <c:v>1812</c:v>
                </c:pt>
                <c:pt idx="6">
                  <c:v>1807</c:v>
                </c:pt>
                <c:pt idx="7">
                  <c:v>1836</c:v>
                </c:pt>
                <c:pt idx="8">
                  <c:v>1974</c:v>
                </c:pt>
                <c:pt idx="9">
                  <c:v>1882</c:v>
                </c:pt>
                <c:pt idx="10">
                  <c:v>2064</c:v>
                </c:pt>
                <c:pt idx="11">
                  <c:v>2608</c:v>
                </c:pt>
                <c:pt idx="12">
                  <c:v>2413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58E-43F7-8A6F-D792D1FC2445}"/>
            </c:ext>
          </c:extLst>
        </c:ser>
        <c:ser>
          <c:idx val="8"/>
          <c:order val="8"/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'!$K$3:$K$15</c:f>
              <c:numCache>
                <c:formatCode>#,##0</c:formatCode>
                <c:ptCount val="13"/>
                <c:pt idx="0" formatCode="General">
                  <c:v>2024</c:v>
                </c:pt>
                <c:pt idx="1">
                  <c:v>2090</c:v>
                </c:pt>
                <c:pt idx="2">
                  <c:v>2063</c:v>
                </c:pt>
                <c:pt idx="3">
                  <c:v>2106</c:v>
                </c:pt>
                <c:pt idx="4">
                  <c:v>2140</c:v>
                </c:pt>
                <c:pt idx="5">
                  <c:v>2227</c:v>
                </c:pt>
                <c:pt idx="6">
                  <c:v>2071</c:v>
                </c:pt>
                <c:pt idx="7">
                  <c:v>2278</c:v>
                </c:pt>
                <c:pt idx="8">
                  <c:v>2364</c:v>
                </c:pt>
                <c:pt idx="9">
                  <c:v>2078</c:v>
                </c:pt>
                <c:pt idx="10">
                  <c:v>2148</c:v>
                </c:pt>
                <c:pt idx="11">
                  <c:v>2072</c:v>
                </c:pt>
                <c:pt idx="12">
                  <c:v>2153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D58E-43F7-8A6F-D792D1FC2445}"/>
            </c:ext>
          </c:extLst>
        </c:ser>
        <c:ser>
          <c:idx val="9"/>
          <c:order val="9"/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'!$L$3:$L$15</c:f>
              <c:numCache>
                <c:formatCode>#,##0</c:formatCode>
                <c:ptCount val="13"/>
                <c:pt idx="0" formatCode="General">
                  <c:v>2025</c:v>
                </c:pt>
                <c:pt idx="1">
                  <c:v>2146</c:v>
                </c:pt>
                <c:pt idx="2">
                  <c:v>1926</c:v>
                </c:pt>
                <c:pt idx="3">
                  <c:v>2148</c:v>
                </c:pt>
                <c:pt idx="4">
                  <c:v>1821</c:v>
                </c:pt>
                <c:pt idx="5">
                  <c:v>1765</c:v>
                </c:pt>
                <c:pt idx="6">
                  <c:v>1874</c:v>
                </c:pt>
                <c:pt idx="7">
                  <c:v>2010</c:v>
                </c:pt>
                <c:pt idx="8" formatCode="General">
                  <c:v>2115</c:v>
                </c:pt>
                <c:pt idx="9" formatCode="General">
                  <c:v>2012</c:v>
                </c:pt>
                <c:pt idx="10" formatCode="General">
                  <c:v>2162</c:v>
                </c:pt>
                <c:pt idx="11" formatCode="General">
                  <c:v>2222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53-459A-AB41-43443AE88E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8375544"/>
        <c:axId val="428377184"/>
      </c:lineChart>
      <c:catAx>
        <c:axId val="428375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28377184"/>
        <c:crossesAt val="0"/>
        <c:auto val="1"/>
        <c:lblAlgn val="ctr"/>
        <c:lblOffset val="100"/>
        <c:noMultiLvlLbl val="0"/>
      </c:catAx>
      <c:valAx>
        <c:axId val="428377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28375544"/>
        <c:crosses val="autoZero"/>
        <c:crossBetween val="between"/>
        <c:majorUnit val="300"/>
        <c:minorUnit val="300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ysClr val="windowText" lastClr="000000"/>
                </a:solidFill>
              </a:rPr>
              <a:t>REPORTE VUELOS ATRASADOS NOVIEMBRE</a:t>
            </a:r>
          </a:p>
          <a:p>
            <a:pPr>
              <a:defRPr>
                <a:solidFill>
                  <a:sysClr val="windowText" lastClr="000000"/>
                </a:solidFill>
              </a:defRPr>
            </a:pPr>
            <a:endParaRPr lang="en-US">
              <a:solidFill>
                <a:sysClr val="windowText" lastClr="000000"/>
              </a:solidFill>
            </a:endParaRPr>
          </a:p>
          <a:p>
            <a:pPr>
              <a:defRPr>
                <a:solidFill>
                  <a:sysClr val="windowText" lastClr="000000"/>
                </a:solidFill>
              </a:defRPr>
            </a:pPr>
            <a:r>
              <a:rPr lang="en-US" baseline="0">
                <a:solidFill>
                  <a:sysClr val="windowText" lastClr="000000"/>
                </a:solidFill>
              </a:rPr>
              <a:t> 2025</a:t>
            </a:r>
            <a:endParaRPr lang="en-US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35515584895462038"/>
          <c:y val="3.47760962817750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681425640294916"/>
          <c:y val="6.9719534005876257E-2"/>
          <c:w val="0.87176985849074495"/>
          <c:h val="0.8611877497183377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'ATRASOS '!$B$71</c:f>
              <c:strCache>
                <c:ptCount val="1"/>
                <c:pt idx="0">
                  <c:v>TOTAL VUELOS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BE30-4FCF-9445-5B152A0AB2C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E30-4FCF-9445-5B152A0AB2C3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BE30-4FCF-9445-5B152A0AB2C3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E30-4FCF-9445-5B152A0AB2C3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BE30-4FCF-9445-5B152A0AB2C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'ATRASOS '!$C$70:$G$70</c:f>
              <c:strCache>
                <c:ptCount val="5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COPA</c:v>
                </c:pt>
              </c:strCache>
            </c:strRef>
          </c:cat>
          <c:val>
            <c:numRef>
              <c:f>'ATRASOS '!$C$71:$G$71</c:f>
              <c:numCache>
                <c:formatCode>General</c:formatCode>
                <c:ptCount val="5"/>
                <c:pt idx="0">
                  <c:v>457</c:v>
                </c:pt>
                <c:pt idx="1">
                  <c:v>189</c:v>
                </c:pt>
                <c:pt idx="2">
                  <c:v>98</c:v>
                </c:pt>
                <c:pt idx="3">
                  <c:v>112</c:v>
                </c:pt>
                <c:pt idx="4">
                  <c:v>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E1-42BC-95D9-A3570E924A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562844344"/>
        <c:axId val="562844672"/>
      </c:barChart>
      <c:catAx>
        <c:axId val="562844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2844672"/>
        <c:crosses val="autoZero"/>
        <c:auto val="1"/>
        <c:lblAlgn val="ctr"/>
        <c:lblOffset val="100"/>
        <c:noMultiLvlLbl val="0"/>
      </c:catAx>
      <c:valAx>
        <c:axId val="562844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2844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tx2">
                <a:lumMod val="15000"/>
                <a:lumOff val="85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COMPARATIVO OPERACIONES DESTINO Y PROCEDENCIA NOVIEMBRE 2024 VS NOVIEMBRE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'ATRASOS '!$B$51</c:f>
              <c:strCache>
                <c:ptCount val="1"/>
                <c:pt idx="0">
                  <c:v>NOVIEMBRE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2853-43CB-884E-0B0467DB58AD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853-43CB-884E-0B0467DB58AD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2853-43CB-884E-0B0467DB58AD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853-43CB-884E-0B0467DB58A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'ATRASOS '!$C$49:$K$50</c:f>
              <c:multiLvlStrCache>
                <c:ptCount val="9"/>
                <c:lvl>
                  <c:pt idx="0">
                    <c:v>MILITAR Y ESTADO</c:v>
                  </c:pt>
                  <c:pt idx="1">
                    <c:v>REGULAR</c:v>
                  </c:pt>
                  <c:pt idx="2">
                    <c:v>NO REGULAR</c:v>
                  </c:pt>
                  <c:pt idx="3">
                    <c:v>TOTAL</c:v>
                  </c:pt>
                  <c:pt idx="4">
                    <c:v>MILITAR Y ESTADO</c:v>
                  </c:pt>
                  <c:pt idx="5">
                    <c:v>REGULAR</c:v>
                  </c:pt>
                  <c:pt idx="6">
                    <c:v>NO REGULAR</c:v>
                  </c:pt>
                  <c:pt idx="7">
                    <c:v>TOTAL</c:v>
                  </c:pt>
                  <c:pt idx="8">
                    <c:v>% DE CREC. 2024 VS 2025</c:v>
                  </c:pt>
                </c:lvl>
                <c:lvl>
                  <c:pt idx="0">
                    <c:v>2024</c:v>
                  </c:pt>
                  <c:pt idx="4">
                    <c:v>2025</c:v>
                  </c:pt>
                </c:lvl>
              </c:multiLvlStrCache>
            </c:multiLvlStrRef>
          </c:cat>
          <c:val>
            <c:numRef>
              <c:f>'ATRASOS '!$C$51:$K$51</c:f>
              <c:numCache>
                <c:formatCode>#,##0</c:formatCode>
                <c:ptCount val="9"/>
                <c:pt idx="0">
                  <c:v>48</c:v>
                </c:pt>
                <c:pt idx="1">
                  <c:v>1740</c:v>
                </c:pt>
                <c:pt idx="2">
                  <c:v>360</c:v>
                </c:pt>
                <c:pt idx="3">
                  <c:v>2148</c:v>
                </c:pt>
                <c:pt idx="4">
                  <c:v>30</c:v>
                </c:pt>
                <c:pt idx="5">
                  <c:v>1813</c:v>
                </c:pt>
                <c:pt idx="6">
                  <c:v>379</c:v>
                </c:pt>
                <c:pt idx="7">
                  <c:v>2222</c:v>
                </c:pt>
                <c:pt idx="8" formatCode="0.00%">
                  <c:v>6.5176908752326845E-3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21-4286-9FE8-4D1D32762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08652136"/>
        <c:axId val="308654432"/>
      </c:barChart>
      <c:catAx>
        <c:axId val="308652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08654432"/>
        <c:crosses val="autoZero"/>
        <c:auto val="1"/>
        <c:lblAlgn val="ctr"/>
        <c:lblOffset val="100"/>
        <c:noMultiLvlLbl val="0"/>
      </c:catAx>
      <c:valAx>
        <c:axId val="308654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086521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baseline="0">
                <a:solidFill>
                  <a:sysClr val="windowText" lastClr="000000"/>
                </a:solidFill>
              </a:rPr>
              <a:t>REPORTE VUELOS ATRASADOS NOVIEMBRE2024</a:t>
            </a:r>
          </a:p>
        </c:rich>
      </c:tx>
      <c:layout>
        <c:manualLayout>
          <c:xMode val="edge"/>
          <c:yMode val="edge"/>
          <c:x val="0.33343172185689546"/>
          <c:y val="3.45308427623120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'ATRASOS '!$B$86</c:f>
              <c:strCache>
                <c:ptCount val="1"/>
                <c:pt idx="0">
                  <c:v>TOTAL VUELOS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A65-4833-925B-88F0C63B6341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4A65-4833-925B-88F0C63B6341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A65-4833-925B-88F0C63B6341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4A65-4833-925B-88F0C63B6341}"/>
              </c:ext>
            </c:extLst>
          </c:dPt>
          <c:dPt>
            <c:idx val="5"/>
            <c:invertIfNegative val="0"/>
            <c:bubble3D val="0"/>
            <c:spPr>
              <a:solidFill>
                <a:srgbClr val="7030A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4A65-4833-925B-88F0C63B6341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6-4A65-4833-925B-88F0C63B634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'ATRASOS '!$C$84:$I$85</c:f>
              <c:strCache>
                <c:ptCount val="7"/>
                <c:pt idx="0">
                  <c:v>AVIANCA</c:v>
                </c:pt>
                <c:pt idx="1">
                  <c:v>LATAM </c:v>
                </c:pt>
                <c:pt idx="2">
                  <c:v>JETSMART</c:v>
                </c:pt>
                <c:pt idx="3">
                  <c:v>CLIC</c:v>
                </c:pt>
                <c:pt idx="4">
                  <c:v>COPA</c:v>
                </c:pt>
                <c:pt idx="5">
                  <c:v>AMERICAN</c:v>
                </c:pt>
                <c:pt idx="6">
                  <c:v>WINGO</c:v>
                </c:pt>
              </c:strCache>
            </c:strRef>
          </c:cat>
          <c:val>
            <c:numRef>
              <c:f>'ATRASOS '!$C$86:$I$86</c:f>
              <c:numCache>
                <c:formatCode>General</c:formatCode>
                <c:ptCount val="7"/>
                <c:pt idx="0">
                  <c:v>434</c:v>
                </c:pt>
                <c:pt idx="1">
                  <c:v>159</c:v>
                </c:pt>
                <c:pt idx="2">
                  <c:v>105</c:v>
                </c:pt>
                <c:pt idx="3">
                  <c:v>77</c:v>
                </c:pt>
                <c:pt idx="4">
                  <c:v>38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65-4833-925B-88F0C63B634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77281736"/>
        <c:axId val="577290736"/>
      </c:barChart>
      <c:catAx>
        <c:axId val="577281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7290736"/>
        <c:crosses val="autoZero"/>
        <c:auto val="1"/>
        <c:lblAlgn val="ctr"/>
        <c:lblOffset val="100"/>
        <c:noMultiLvlLbl val="0"/>
      </c:catAx>
      <c:valAx>
        <c:axId val="577290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7281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VOLUMEN DE CARGA NOVIEMBRE</a:t>
            </a:r>
          </a:p>
          <a:p>
            <a:pPr>
              <a:defRPr b="1">
                <a:solidFill>
                  <a:sysClr val="windowText" lastClr="000000"/>
                </a:solidFill>
              </a:defRPr>
            </a:pPr>
            <a:r>
              <a:rPr lang="en-US" sz="1200" b="1" baseline="0">
                <a:solidFill>
                  <a:sysClr val="windowText" lastClr="000000"/>
                </a:solidFill>
              </a:rPr>
              <a:t> 2025</a:t>
            </a:r>
            <a:endParaRPr lang="en-US" sz="12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'CARGA '!$C$2:$C$3</c:f>
              <c:strCache>
                <c:ptCount val="2"/>
                <c:pt idx="0">
                  <c:v>VOLUMEN DE CARGA NOVIEMBRE 2025</c:v>
                </c:pt>
                <c:pt idx="1">
                  <c:v>TOTAL EN KILOS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'!$B$4:$B$6</c:f>
              <c:strCache>
                <c:ptCount val="3"/>
                <c:pt idx="0">
                  <c:v>LATAM</c:v>
                </c:pt>
                <c:pt idx="1">
                  <c:v>DEPRISA</c:v>
                </c:pt>
                <c:pt idx="2">
                  <c:v>TOTAL 2025</c:v>
                </c:pt>
              </c:strCache>
            </c:strRef>
          </c:cat>
          <c:val>
            <c:numRef>
              <c:f>'CARGA '!$C$4:$C$6</c:f>
              <c:numCache>
                <c:formatCode>#,##0</c:formatCode>
                <c:ptCount val="3"/>
                <c:pt idx="0">
                  <c:v>7684</c:v>
                </c:pt>
                <c:pt idx="1">
                  <c:v>75140</c:v>
                </c:pt>
                <c:pt idx="2">
                  <c:v>82824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4B-4551-8732-32934DB09D49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614279584"/>
        <c:axId val="614278864"/>
      </c:lineChart>
      <c:catAx>
        <c:axId val="614279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14278864"/>
        <c:crosses val="autoZero"/>
        <c:auto val="1"/>
        <c:lblAlgn val="ctr"/>
        <c:lblOffset val="100"/>
        <c:noMultiLvlLbl val="0"/>
      </c:catAx>
      <c:valAx>
        <c:axId val="614278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142795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000" b="1">
                <a:solidFill>
                  <a:sysClr val="windowText" lastClr="000000"/>
                </a:solidFill>
              </a:rPr>
              <a:t>KILOS CARGA</a:t>
            </a:r>
            <a:r>
              <a:rPr lang="es-CO" sz="1000" b="1" baseline="0">
                <a:solidFill>
                  <a:sysClr val="windowText" lastClr="000000"/>
                </a:solidFill>
              </a:rPr>
              <a:t> TRANSPORTADA AD-SKPE OCTUBRE 2025</a:t>
            </a:r>
            <a:endParaRPr lang="es-CO" sz="10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'CARGA '!$B$4</c:f>
              <c:strCache>
                <c:ptCount val="1"/>
                <c:pt idx="0">
                  <c:v>LATAM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'!$C$4</c:f>
              <c:numCache>
                <c:formatCode>#,##0</c:formatCode>
                <c:ptCount val="1"/>
                <c:pt idx="0">
                  <c:v>7684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6F-4E11-90BE-98BBB2A3DA9E}"/>
            </c:ext>
          </c:extLst>
        </c:ser>
        <c:ser>
          <c:idx val="1"/>
          <c:order val="1"/>
          <c:tx>
            <c:strRef>
              <c:f>'CARGA '!$B$5</c:f>
              <c:strCache>
                <c:ptCount val="1"/>
                <c:pt idx="0">
                  <c:v>DEPRISA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'!$C$5</c:f>
              <c:numCache>
                <c:formatCode>#,##0</c:formatCode>
                <c:ptCount val="1"/>
                <c:pt idx="0">
                  <c:v>75140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D6F-4E11-90BE-98BBB2A3DA9E}"/>
            </c:ext>
          </c:extLst>
        </c:ser>
        <c:ser>
          <c:idx val="2"/>
          <c:order val="2"/>
          <c:tx>
            <c:strRef>
              <c:f>'CARGA '!$B$6</c:f>
              <c:strCache>
                <c:ptCount val="1"/>
                <c:pt idx="0">
                  <c:v>TOTAL 2025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'!$C$6</c:f>
              <c:numCache>
                <c:formatCode>#,##0</c:formatCode>
                <c:ptCount val="1"/>
                <c:pt idx="0">
                  <c:v>82824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D6F-4E11-90BE-98BBB2A3DA9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99172296"/>
        <c:axId val="599171936"/>
      </c:barChart>
      <c:catAx>
        <c:axId val="599172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99171936"/>
        <c:crosses val="autoZero"/>
        <c:auto val="1"/>
        <c:lblAlgn val="ctr"/>
        <c:lblOffset val="100"/>
        <c:noMultiLvlLbl val="0"/>
      </c:catAx>
      <c:valAx>
        <c:axId val="599171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99172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VOLUMEN DE CARGA PRIMER SEMESTRE AÑO 2025        ( ENERO - JUNIO) </a:t>
            </a:r>
          </a:p>
        </c:rich>
      </c:tx>
      <c:layout>
        <c:manualLayout>
          <c:xMode val="edge"/>
          <c:yMode val="edge"/>
          <c:x val="0.12648115932514936"/>
          <c:y val="3.83299192829675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'CARGA '!$C$16:$C$17</c:f>
              <c:strCache>
                <c:ptCount val="2"/>
                <c:pt idx="0">
                  <c:v>VOLUMEN DE CARGA PRIMER SEMESTRE AÑO 2025         ( ENERO - JUNIO)</c:v>
                </c:pt>
                <c:pt idx="1">
                  <c:v>TOTAL EN KILOS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'!$B$18:$B$21</c:f>
              <c:strCache>
                <c:ptCount val="4"/>
                <c:pt idx="0">
                  <c:v>COPA</c:v>
                </c:pt>
                <c:pt idx="1">
                  <c:v>LATAM</c:v>
                </c:pt>
                <c:pt idx="2">
                  <c:v>DEPRISA</c:v>
                </c:pt>
                <c:pt idx="3">
                  <c:v>TOTAL PRIMER SEMESTRE AÑO 2025</c:v>
                </c:pt>
              </c:strCache>
            </c:strRef>
          </c:cat>
          <c:val>
            <c:numRef>
              <c:f>'CARGA '!$C$18:$C$21</c:f>
              <c:numCache>
                <c:formatCode>#,##0</c:formatCode>
                <c:ptCount val="4"/>
                <c:pt idx="0">
                  <c:v>4903</c:v>
                </c:pt>
                <c:pt idx="1">
                  <c:v>33706</c:v>
                </c:pt>
                <c:pt idx="2">
                  <c:v>395279</c:v>
                </c:pt>
                <c:pt idx="3">
                  <c:v>433888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48-47D9-B298-48EEB716E96D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6193848"/>
        <c:axId val="106195648"/>
      </c:lineChart>
      <c:catAx>
        <c:axId val="106193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5648"/>
        <c:crosses val="autoZero"/>
        <c:auto val="1"/>
        <c:lblAlgn val="ctr"/>
        <c:lblOffset val="100"/>
        <c:noMultiLvlLbl val="0"/>
      </c:catAx>
      <c:valAx>
        <c:axId val="106195648"/>
        <c:scaling>
          <c:orientation val="minMax"/>
          <c:max val="4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3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 i="0" u="none" strike="noStrike" kern="1200" spc="0" baseline="0">
                <a:solidFill>
                  <a:sysClr val="windowText" lastClr="000000"/>
                </a:solidFill>
              </a:rPr>
              <a:t>KILOS CARGA TRANSPORTADA AD-SKPE PRIMER SEMESTRE AÑO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'CARGA '!$B$18</c:f>
              <c:strCache>
                <c:ptCount val="1"/>
                <c:pt idx="0">
                  <c:v>COPA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'!$C$16:$C$17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'!$C$18</c:f>
              <c:numCache>
                <c:formatCode>#,##0</c:formatCode>
                <c:ptCount val="1"/>
                <c:pt idx="0">
                  <c:v>4903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0A-4CF6-81A8-59B5C0A09F23}"/>
            </c:ext>
          </c:extLst>
        </c:ser>
        <c:ser>
          <c:idx val="1"/>
          <c:order val="1"/>
          <c:tx>
            <c:strRef>
              <c:f>'CARGA '!$B$19</c:f>
              <c:strCache>
                <c:ptCount val="1"/>
                <c:pt idx="0">
                  <c:v>LATAM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'!$C$16:$C$17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'!$C$19</c:f>
              <c:numCache>
                <c:formatCode>#,##0</c:formatCode>
                <c:ptCount val="1"/>
                <c:pt idx="0">
                  <c:v>33706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40A-4CF6-81A8-59B5C0A09F23}"/>
            </c:ext>
          </c:extLst>
        </c:ser>
        <c:ser>
          <c:idx val="2"/>
          <c:order val="2"/>
          <c:tx>
            <c:strRef>
              <c:f>'CARGA '!$B$20</c:f>
              <c:strCache>
                <c:ptCount val="1"/>
                <c:pt idx="0">
                  <c:v>DEPRISA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'!$C$16:$C$17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'!$C$20</c:f>
              <c:numCache>
                <c:formatCode>#,##0</c:formatCode>
                <c:ptCount val="1"/>
                <c:pt idx="0">
                  <c:v>395279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40A-4CF6-81A8-59B5C0A09F23}"/>
            </c:ext>
          </c:extLst>
        </c:ser>
        <c:ser>
          <c:idx val="3"/>
          <c:order val="3"/>
          <c:tx>
            <c:strRef>
              <c:f>'CARGA '!$B$21</c:f>
              <c:strCache>
                <c:ptCount val="1"/>
                <c:pt idx="0">
                  <c:v>TOTAL PRIMER SEMESTRE AÑO 2025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'!$C$16:$C$17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'!$C$21</c:f>
              <c:numCache>
                <c:formatCode>#,##0</c:formatCode>
                <c:ptCount val="1"/>
                <c:pt idx="0">
                  <c:v>433888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40A-4CF6-81A8-59B5C0A09F2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6207888"/>
        <c:axId val="106211128"/>
      </c:barChart>
      <c:catAx>
        <c:axId val="10620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211128"/>
        <c:crosses val="autoZero"/>
        <c:auto val="1"/>
        <c:lblAlgn val="ctr"/>
        <c:lblOffset val="100"/>
        <c:noMultiLvlLbl val="0"/>
      </c:catAx>
      <c:valAx>
        <c:axId val="106211128"/>
        <c:scaling>
          <c:orientation val="minMax"/>
          <c:max val="4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2078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.xml"/><Relationship Id="rId3" Type="http://schemas.openxmlformats.org/officeDocument/2006/relationships/chart" Target="../charts/chart7.xml"/><Relationship Id="rId7" Type="http://schemas.openxmlformats.org/officeDocument/2006/relationships/chart" Target="../charts/chart11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10.xml"/><Relationship Id="rId5" Type="http://schemas.openxmlformats.org/officeDocument/2006/relationships/chart" Target="../charts/chart9.xml"/><Relationship Id="rId10" Type="http://schemas.openxmlformats.org/officeDocument/2006/relationships/chart" Target="../charts/chart14.xml"/><Relationship Id="rId4" Type="http://schemas.openxmlformats.org/officeDocument/2006/relationships/chart" Target="../charts/chart8.xml"/><Relationship Id="rId9" Type="http://schemas.openxmlformats.org/officeDocument/2006/relationships/chart" Target="../charts/chart1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2.xml"/><Relationship Id="rId3" Type="http://schemas.openxmlformats.org/officeDocument/2006/relationships/image" Target="../media/image3.png"/><Relationship Id="rId7" Type="http://schemas.openxmlformats.org/officeDocument/2006/relationships/chart" Target="../charts/chart21.xml"/><Relationship Id="rId2" Type="http://schemas.openxmlformats.org/officeDocument/2006/relationships/image" Target="../media/image2.png"/><Relationship Id="rId1" Type="http://schemas.openxmlformats.org/officeDocument/2006/relationships/image" Target="../media/image1.emf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743855</xdr:colOff>
      <xdr:row>32</xdr:row>
      <xdr:rowOff>134939</xdr:rowOff>
    </xdr:from>
    <xdr:to>
      <xdr:col>10</xdr:col>
      <xdr:colOff>1000124</xdr:colOff>
      <xdr:row>53</xdr:row>
      <xdr:rowOff>63500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1158875</xdr:colOff>
      <xdr:row>32</xdr:row>
      <xdr:rowOff>277810</xdr:rowOff>
    </xdr:from>
    <xdr:to>
      <xdr:col>17</xdr:col>
      <xdr:colOff>365125</xdr:colOff>
      <xdr:row>52</xdr:row>
      <xdr:rowOff>158749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881060</xdr:colOff>
      <xdr:row>0</xdr:row>
      <xdr:rowOff>152400</xdr:rowOff>
    </xdr:from>
    <xdr:to>
      <xdr:col>19</xdr:col>
      <xdr:colOff>21167</xdr:colOff>
      <xdr:row>19</xdr:row>
      <xdr:rowOff>21167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279794</xdr:colOff>
      <xdr:row>0</xdr:row>
      <xdr:rowOff>69055</xdr:rowOff>
    </xdr:from>
    <xdr:to>
      <xdr:col>10</xdr:col>
      <xdr:colOff>285749</xdr:colOff>
      <xdr:row>16</xdr:row>
      <xdr:rowOff>158750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BF637AF1-3E81-16A6-0BEE-6CB4538E47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561474</xdr:colOff>
      <xdr:row>102</xdr:row>
      <xdr:rowOff>39270</xdr:rowOff>
    </xdr:from>
    <xdr:to>
      <xdr:col>13</xdr:col>
      <xdr:colOff>300790</xdr:colOff>
      <xdr:row>117</xdr:row>
      <xdr:rowOff>150395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B6E99B2-7217-49DB-A9F1-3C9465E15B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104775</xdr:colOff>
      <xdr:row>102</xdr:row>
      <xdr:rowOff>67677</xdr:rowOff>
    </xdr:from>
    <xdr:to>
      <xdr:col>18</xdr:col>
      <xdr:colOff>317500</xdr:colOff>
      <xdr:row>116</xdr:row>
      <xdr:rowOff>50132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0BAC997-5527-40A1-B1AA-DFECAEAB90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929821</xdr:colOff>
      <xdr:row>123</xdr:row>
      <xdr:rowOff>0</xdr:rowOff>
    </xdr:from>
    <xdr:to>
      <xdr:col>13</xdr:col>
      <xdr:colOff>374196</xdr:colOff>
      <xdr:row>141</xdr:row>
      <xdr:rowOff>90713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7591E7B-72C3-4D87-A477-AB7AAB0921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381000</xdr:colOff>
      <xdr:row>123</xdr:row>
      <xdr:rowOff>90237</xdr:rowOff>
    </xdr:from>
    <xdr:to>
      <xdr:col>17</xdr:col>
      <xdr:colOff>380999</xdr:colOff>
      <xdr:row>139</xdr:row>
      <xdr:rowOff>45832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DA5D5520-EB96-449D-B420-8C90395765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635000</xdr:colOff>
      <xdr:row>0</xdr:row>
      <xdr:rowOff>42333</xdr:rowOff>
    </xdr:from>
    <xdr:to>
      <xdr:col>14</xdr:col>
      <xdr:colOff>1397000</xdr:colOff>
      <xdr:row>30</xdr:row>
      <xdr:rowOff>190499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40DD4069-B424-46D6-A540-A056D0F327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1594183</xdr:colOff>
      <xdr:row>1</xdr:row>
      <xdr:rowOff>160421</xdr:rowOff>
    </xdr:from>
    <xdr:to>
      <xdr:col>19</xdr:col>
      <xdr:colOff>455082</xdr:colOff>
      <xdr:row>28</xdr:row>
      <xdr:rowOff>137583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856D24D4-840E-4F54-8D15-F87461EF6E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862264</xdr:colOff>
      <xdr:row>143</xdr:row>
      <xdr:rowOff>69385</xdr:rowOff>
    </xdr:from>
    <xdr:to>
      <xdr:col>14</xdr:col>
      <xdr:colOff>110289</xdr:colOff>
      <xdr:row>166</xdr:row>
      <xdr:rowOff>142635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932B760B-C661-4DAF-8BCB-7CD0E35685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782051</xdr:colOff>
      <xdr:row>146</xdr:row>
      <xdr:rowOff>70182</xdr:rowOff>
    </xdr:from>
    <xdr:to>
      <xdr:col>20</xdr:col>
      <xdr:colOff>10026</xdr:colOff>
      <xdr:row>173</xdr:row>
      <xdr:rowOff>180474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6F902C13-E2B9-4CD6-A61E-5D2081B7E0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8</xdr:col>
      <xdr:colOff>70184</xdr:colOff>
      <xdr:row>48</xdr:row>
      <xdr:rowOff>122321</xdr:rowOff>
    </xdr:from>
    <xdr:to>
      <xdr:col>14</xdr:col>
      <xdr:colOff>70184</xdr:colOff>
      <xdr:row>64</xdr:row>
      <xdr:rowOff>140368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</xdr:col>
      <xdr:colOff>381000</xdr:colOff>
      <xdr:row>48</xdr:row>
      <xdr:rowOff>177464</xdr:rowOff>
    </xdr:from>
    <xdr:to>
      <xdr:col>16</xdr:col>
      <xdr:colOff>1844842</xdr:colOff>
      <xdr:row>64</xdr:row>
      <xdr:rowOff>20053</xdr:rowOff>
    </xdr:to>
    <xdr:graphicFrame macro="">
      <xdr:nvGraphicFramePr>
        <xdr:cNvPr id="18" name="Gráfico 17">
          <a:extLst>
            <a:ext uri="{FF2B5EF4-FFF2-40B4-BE49-F238E27FC236}">
              <a16:creationId xmlns:a16="http://schemas.microsoft.com/office/drawing/2014/main" id="{22C23A16-7A53-058B-9B9A-09D7A6BD4E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1464087</xdr:colOff>
      <xdr:row>1</xdr:row>
      <xdr:rowOff>242816</xdr:rowOff>
    </xdr:from>
    <xdr:to>
      <xdr:col>26</xdr:col>
      <xdr:colOff>317501</xdr:colOff>
      <xdr:row>24</xdr:row>
      <xdr:rowOff>27608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5EA60AE-254D-4990-A9C8-2986D85C3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0</xdr:colOff>
      <xdr:row>58</xdr:row>
      <xdr:rowOff>193259</xdr:rowOff>
    </xdr:from>
    <xdr:to>
      <xdr:col>21</xdr:col>
      <xdr:colOff>524567</xdr:colOff>
      <xdr:row>70</xdr:row>
      <xdr:rowOff>193261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D6D7539-3FA1-4942-9C01-1D3C591DF8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882098</xdr:colOff>
      <xdr:row>29</xdr:row>
      <xdr:rowOff>8834</xdr:rowOff>
    </xdr:from>
    <xdr:to>
      <xdr:col>21</xdr:col>
      <xdr:colOff>0</xdr:colOff>
      <xdr:row>50</xdr:row>
      <xdr:rowOff>4279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16531E1B-182F-4816-B90C-2409EBAFB9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24</xdr:col>
      <xdr:colOff>40029</xdr:colOff>
      <xdr:row>59</xdr:row>
      <xdr:rowOff>27610</xdr:rowOff>
    </xdr:from>
    <xdr:to>
      <xdr:col>33</xdr:col>
      <xdr:colOff>441738</xdr:colOff>
      <xdr:row>69</xdr:row>
      <xdr:rowOff>372717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2178281-8677-81EC-04E6-3E72B005BB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</xdr:colOff>
      <xdr:row>22</xdr:row>
      <xdr:rowOff>9525</xdr:rowOff>
    </xdr:from>
    <xdr:to>
      <xdr:col>2</xdr:col>
      <xdr:colOff>104775</xdr:colOff>
      <xdr:row>24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19C5779-BFDB-4C26-89B2-59FE8D6FC853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5697" b="88430"/>
        <a:stretch/>
      </xdr:blipFill>
      <xdr:spPr bwMode="auto">
        <a:xfrm>
          <a:off x="771524" y="3838575"/>
          <a:ext cx="1295401" cy="4000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19049</xdr:colOff>
      <xdr:row>30</xdr:row>
      <xdr:rowOff>11120</xdr:rowOff>
    </xdr:from>
    <xdr:to>
      <xdr:col>2</xdr:col>
      <xdr:colOff>142874</xdr:colOff>
      <xdr:row>31</xdr:row>
      <xdr:rowOff>171450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FB6D5C1-D8F9-48F7-B55F-7AD35ACC7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1049" y="5497520"/>
          <a:ext cx="1323975" cy="36035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38</xdr:row>
      <xdr:rowOff>20045</xdr:rowOff>
    </xdr:from>
    <xdr:to>
      <xdr:col>2</xdr:col>
      <xdr:colOff>171450</xdr:colOff>
      <xdr:row>39</xdr:row>
      <xdr:rowOff>171450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58C3E8E-3B78-4659-9DF2-4F290E63C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81050" y="7249520"/>
          <a:ext cx="1352550" cy="35143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46</xdr:row>
      <xdr:rowOff>11318</xdr:rowOff>
    </xdr:from>
    <xdr:to>
      <xdr:col>2</xdr:col>
      <xdr:colOff>133350</xdr:colOff>
      <xdr:row>48</xdr:row>
      <xdr:rowOff>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7682C0D-D1C0-4A2D-A488-E4D8113D7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62000" y="9021968"/>
          <a:ext cx="1333500" cy="379207"/>
        </a:xfrm>
        <a:prstGeom prst="rect">
          <a:avLst/>
        </a:prstGeom>
      </xdr:spPr>
    </xdr:pic>
    <xdr:clientData/>
  </xdr:twoCellAnchor>
  <xdr:twoCellAnchor>
    <xdr:from>
      <xdr:col>4</xdr:col>
      <xdr:colOff>57150</xdr:colOff>
      <xdr:row>0</xdr:row>
      <xdr:rowOff>52388</xdr:rowOff>
    </xdr:from>
    <xdr:to>
      <xdr:col>7</xdr:col>
      <xdr:colOff>466725</xdr:colOff>
      <xdr:row>8</xdr:row>
      <xdr:rowOff>57150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4A501F5A-5F24-1A93-F015-336E3371E16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85725</xdr:colOff>
      <xdr:row>0</xdr:row>
      <xdr:rowOff>33337</xdr:rowOff>
    </xdr:from>
    <xdr:to>
      <xdr:col>12</xdr:col>
      <xdr:colOff>523875</xdr:colOff>
      <xdr:row>10</xdr:row>
      <xdr:rowOff>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9B82EAA-4ED3-6D8E-A1C6-725E9B1DD62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1076324</xdr:colOff>
      <xdr:row>9</xdr:row>
      <xdr:rowOff>180974</xdr:rowOff>
    </xdr:from>
    <xdr:to>
      <xdr:col>8</xdr:col>
      <xdr:colOff>304800</xdr:colOff>
      <xdr:row>21</xdr:row>
      <xdr:rowOff>38100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81141D61-F4FC-0535-4D8D-5EA813D4BA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200025</xdr:colOff>
      <xdr:row>6</xdr:row>
      <xdr:rowOff>23812</xdr:rowOff>
    </xdr:from>
    <xdr:to>
      <xdr:col>19</xdr:col>
      <xdr:colOff>190500</xdr:colOff>
      <xdr:row>19</xdr:row>
      <xdr:rowOff>42862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5F4D79AF-D0DE-4146-CD20-1017BFFA77B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Y59"/>
  <sheetViews>
    <sheetView tabSelected="1" zoomScale="90" zoomScaleNormal="90" workbookViewId="0">
      <selection activeCell="B1" sqref="B1:D1"/>
    </sheetView>
  </sheetViews>
  <sheetFormatPr baseColWidth="10" defaultRowHeight="15"/>
  <cols>
    <col min="2" max="2" width="24" customWidth="1"/>
    <col min="3" max="3" width="21.5703125" customWidth="1"/>
    <col min="4" max="4" width="21.5703125" bestFit="1" customWidth="1"/>
    <col min="5" max="5" width="14.7109375" bestFit="1" customWidth="1"/>
    <col min="6" max="6" width="21.5703125" bestFit="1" customWidth="1"/>
    <col min="7" max="7" width="10.42578125" customWidth="1"/>
    <col min="9" max="9" width="9.7109375" customWidth="1"/>
    <col min="11" max="11" width="20.140625" customWidth="1"/>
    <col min="14" max="14" width="7.7109375" customWidth="1"/>
    <col min="15" max="15" width="11.28515625" customWidth="1"/>
    <col min="16" max="16" width="9.5703125" customWidth="1"/>
    <col min="17" max="17" width="9.28515625" customWidth="1"/>
    <col min="18" max="18" width="9.140625" customWidth="1"/>
  </cols>
  <sheetData>
    <row r="1" spans="2:25" ht="36.75" customHeight="1">
      <c r="B1" s="361" t="s">
        <v>171</v>
      </c>
      <c r="C1" s="362"/>
      <c r="D1" s="363"/>
    </row>
    <row r="2" spans="2:25" ht="30">
      <c r="B2" s="1" t="s">
        <v>0</v>
      </c>
      <c r="C2" s="2" t="s">
        <v>1</v>
      </c>
      <c r="D2" s="3" t="s">
        <v>2</v>
      </c>
    </row>
    <row r="3" spans="2:25">
      <c r="B3" s="4" t="s">
        <v>4</v>
      </c>
      <c r="C3" s="133">
        <v>55072</v>
      </c>
      <c r="D3" s="67"/>
    </row>
    <row r="4" spans="2:25">
      <c r="B4" s="4" t="s">
        <v>3</v>
      </c>
      <c r="C4" s="133">
        <v>26075</v>
      </c>
      <c r="D4" s="64"/>
    </row>
    <row r="5" spans="2:25">
      <c r="B5" s="4" t="s">
        <v>101</v>
      </c>
      <c r="C5" s="133">
        <v>15403</v>
      </c>
      <c r="D5" s="64"/>
    </row>
    <row r="6" spans="2:25">
      <c r="B6" s="4" t="s">
        <v>97</v>
      </c>
      <c r="C6" s="133">
        <v>3275</v>
      </c>
      <c r="D6" s="64"/>
    </row>
    <row r="7" spans="2:25">
      <c r="B7" s="4" t="s">
        <v>102</v>
      </c>
      <c r="C7" s="133">
        <v>141</v>
      </c>
      <c r="D7" s="64"/>
    </row>
    <row r="8" spans="2:25">
      <c r="B8" s="4" t="s">
        <v>106</v>
      </c>
      <c r="C8" s="198">
        <v>0</v>
      </c>
      <c r="D8" s="64"/>
    </row>
    <row r="9" spans="2:25">
      <c r="B9" s="4" t="s">
        <v>5</v>
      </c>
      <c r="C9" s="66">
        <v>0</v>
      </c>
      <c r="D9" s="64">
        <v>8260</v>
      </c>
    </row>
    <row r="10" spans="2:25" ht="15.75" thickBot="1">
      <c r="B10" s="5" t="s">
        <v>6</v>
      </c>
      <c r="C10" s="6">
        <f>SUM(C3:C9)</f>
        <v>99966</v>
      </c>
      <c r="D10" s="7">
        <f>SUM(D3:D9)</f>
        <v>8260</v>
      </c>
    </row>
    <row r="11" spans="2:25">
      <c r="D11" s="48"/>
    </row>
    <row r="12" spans="2:25">
      <c r="D12" s="48"/>
    </row>
    <row r="14" spans="2:25">
      <c r="B14" s="314" t="s">
        <v>0</v>
      </c>
      <c r="C14" s="2" t="s">
        <v>1</v>
      </c>
    </row>
    <row r="15" spans="2:25">
      <c r="B15" s="18" t="s">
        <v>4</v>
      </c>
      <c r="C15" s="66">
        <f>C3</f>
        <v>55072</v>
      </c>
    </row>
    <row r="16" spans="2:25" ht="15.75">
      <c r="B16" s="18" t="s">
        <v>3</v>
      </c>
      <c r="C16" s="66">
        <f>C4</f>
        <v>26075</v>
      </c>
      <c r="D16" s="8"/>
      <c r="O16" s="9"/>
      <c r="P16" s="10"/>
      <c r="Q16" s="10"/>
      <c r="R16" s="9"/>
      <c r="S16" s="10"/>
      <c r="T16" s="10"/>
      <c r="U16" s="11"/>
      <c r="V16" s="11"/>
      <c r="W16" s="11"/>
      <c r="X16" s="11"/>
      <c r="Y16" s="11"/>
    </row>
    <row r="17" spans="2:25">
      <c r="B17" s="18" t="s">
        <v>101</v>
      </c>
      <c r="C17" s="66">
        <f>C5</f>
        <v>15403</v>
      </c>
      <c r="O17" s="12"/>
      <c r="P17" s="13"/>
      <c r="Q17" s="13"/>
      <c r="R17" s="12"/>
      <c r="S17" s="13"/>
      <c r="T17" s="13"/>
      <c r="U17" s="11"/>
      <c r="V17" s="11"/>
      <c r="W17" s="11"/>
      <c r="X17" s="11"/>
      <c r="Y17" s="11"/>
    </row>
    <row r="18" spans="2:25">
      <c r="B18" s="18" t="s">
        <v>97</v>
      </c>
      <c r="C18" s="66">
        <f>C6</f>
        <v>3275</v>
      </c>
      <c r="O18" s="12"/>
      <c r="P18" s="14"/>
      <c r="Q18" s="14"/>
      <c r="R18" s="12"/>
      <c r="S18" s="14"/>
      <c r="T18" s="14"/>
      <c r="U18" s="11"/>
      <c r="V18" s="11"/>
      <c r="W18" s="11"/>
      <c r="X18" s="11"/>
      <c r="Y18" s="11"/>
    </row>
    <row r="19" spans="2:25">
      <c r="B19" s="18" t="s">
        <v>102</v>
      </c>
      <c r="C19" s="66">
        <f>C7</f>
        <v>141</v>
      </c>
      <c r="D19" s="48"/>
      <c r="O19" s="12"/>
      <c r="P19" s="13"/>
      <c r="Q19" s="13"/>
      <c r="R19" s="12"/>
      <c r="S19" s="13"/>
      <c r="T19" s="13"/>
      <c r="U19" s="11"/>
      <c r="V19" s="11"/>
      <c r="W19" s="11"/>
      <c r="X19" s="11"/>
      <c r="Y19" s="11"/>
    </row>
    <row r="20" spans="2:25">
      <c r="B20" s="18" t="s">
        <v>106</v>
      </c>
      <c r="C20" s="347">
        <f>+C8</f>
        <v>0</v>
      </c>
      <c r="D20" s="48"/>
      <c r="O20" s="12"/>
      <c r="P20" s="13"/>
      <c r="Q20" s="13"/>
      <c r="R20" s="12"/>
      <c r="S20" s="13"/>
      <c r="T20" s="13"/>
      <c r="U20" s="11"/>
      <c r="V20" s="11"/>
      <c r="W20" s="11"/>
      <c r="X20" s="11"/>
      <c r="Y20" s="11"/>
    </row>
    <row r="21" spans="2:25">
      <c r="B21" s="315" t="s">
        <v>6</v>
      </c>
      <c r="C21" s="316">
        <f>SUM(C15:C20)</f>
        <v>99966</v>
      </c>
      <c r="D21" s="48"/>
      <c r="O21" s="12"/>
      <c r="P21" s="13"/>
      <c r="Q21" s="13"/>
      <c r="R21" s="12"/>
      <c r="S21" s="13"/>
      <c r="T21" s="13"/>
      <c r="U21" s="11"/>
      <c r="V21" s="11"/>
      <c r="W21" s="11"/>
      <c r="X21" s="11"/>
      <c r="Y21" s="11"/>
    </row>
    <row r="22" spans="2:25">
      <c r="D22" s="48"/>
      <c r="O22" s="12"/>
      <c r="P22" s="13"/>
      <c r="Q22" s="13"/>
      <c r="R22" s="12"/>
      <c r="S22" s="13"/>
      <c r="T22" s="13"/>
      <c r="U22" s="11"/>
      <c r="V22" s="11"/>
      <c r="W22" s="11"/>
      <c r="X22" s="11"/>
      <c r="Y22" s="11"/>
    </row>
    <row r="23" spans="2:25">
      <c r="O23" s="12"/>
      <c r="P23" s="14"/>
      <c r="Q23" s="14"/>
      <c r="R23" s="12"/>
      <c r="S23" s="14"/>
      <c r="T23" s="14"/>
      <c r="U23" s="11"/>
      <c r="V23" s="11"/>
      <c r="W23" s="11"/>
      <c r="X23" s="11"/>
      <c r="Y23" s="11"/>
    </row>
    <row r="24" spans="2:25" ht="25.5">
      <c r="B24" s="314" t="s">
        <v>0</v>
      </c>
      <c r="C24" s="317" t="s">
        <v>2</v>
      </c>
      <c r="O24" s="12"/>
      <c r="P24" s="14"/>
      <c r="Q24" s="14"/>
      <c r="R24" s="12"/>
      <c r="S24" s="14"/>
      <c r="T24" s="14"/>
      <c r="U24" s="11"/>
      <c r="V24" s="11"/>
      <c r="W24" s="11"/>
      <c r="X24" s="11"/>
      <c r="Y24" s="11"/>
    </row>
    <row r="25" spans="2:25">
      <c r="B25" s="18" t="s">
        <v>4</v>
      </c>
      <c r="C25" s="66">
        <f>D3</f>
        <v>0</v>
      </c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</row>
    <row r="26" spans="2:25">
      <c r="B26" s="18" t="s">
        <v>5</v>
      </c>
      <c r="C26" s="66">
        <f>D9</f>
        <v>8260</v>
      </c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</row>
    <row r="27" spans="2:25">
      <c r="B27" s="18" t="s">
        <v>3</v>
      </c>
      <c r="C27" s="66">
        <f>D4</f>
        <v>0</v>
      </c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</row>
    <row r="28" spans="2:25">
      <c r="B28" s="18" t="s">
        <v>102</v>
      </c>
      <c r="C28" s="66">
        <f>+D7</f>
        <v>0</v>
      </c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spans="2:25">
      <c r="B29" s="18" t="s">
        <v>139</v>
      </c>
      <c r="C29" s="66">
        <v>0</v>
      </c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</row>
    <row r="30" spans="2:25">
      <c r="B30" s="315" t="s">
        <v>6</v>
      </c>
      <c r="C30" s="316">
        <f>SUM(C24:C29)</f>
        <v>8260</v>
      </c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</row>
    <row r="31" spans="2:25">
      <c r="D31" s="48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</row>
    <row r="32" spans="2:25" ht="15.75" thickBot="1">
      <c r="D32" s="48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2:25" ht="27" customHeight="1">
      <c r="B33" s="364" t="s">
        <v>177</v>
      </c>
      <c r="C33" s="365"/>
      <c r="D33" s="366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</row>
    <row r="34" spans="2:25" ht="30">
      <c r="B34" s="1" t="s">
        <v>0</v>
      </c>
      <c r="C34" s="2" t="s">
        <v>1</v>
      </c>
      <c r="D34" s="3" t="s">
        <v>2</v>
      </c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spans="2:25">
      <c r="B35" s="4" t="s">
        <v>4</v>
      </c>
      <c r="C35" s="133">
        <v>70448</v>
      </c>
      <c r="D35" s="67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</row>
    <row r="36" spans="2:25">
      <c r="B36" s="4" t="s">
        <v>3</v>
      </c>
      <c r="C36" s="133">
        <v>26485</v>
      </c>
      <c r="D36" s="270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</row>
    <row r="37" spans="2:25">
      <c r="B37" s="4" t="s">
        <v>101</v>
      </c>
      <c r="C37" s="133">
        <v>15302</v>
      </c>
      <c r="D37" s="270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</row>
    <row r="38" spans="2:25">
      <c r="B38" s="4" t="s">
        <v>97</v>
      </c>
      <c r="C38" s="133">
        <v>3287</v>
      </c>
      <c r="D38" s="270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</row>
    <row r="39" spans="2:25">
      <c r="B39" s="4" t="s">
        <v>102</v>
      </c>
      <c r="C39" s="133">
        <v>123</v>
      </c>
      <c r="D39" s="64">
        <v>1</v>
      </c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</row>
    <row r="40" spans="2:25">
      <c r="B40" s="4" t="s">
        <v>106</v>
      </c>
      <c r="C40" s="66">
        <v>5</v>
      </c>
      <c r="D40" s="64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</row>
    <row r="41" spans="2:25">
      <c r="B41" s="4" t="s">
        <v>5</v>
      </c>
      <c r="C41" s="66"/>
      <c r="D41" s="64">
        <v>8510</v>
      </c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</row>
    <row r="42" spans="2:25" ht="15.75" thickBot="1">
      <c r="B42" s="5" t="s">
        <v>6</v>
      </c>
      <c r="C42" s="6">
        <f>SUM(C35:C41)</f>
        <v>115650</v>
      </c>
      <c r="D42" s="7">
        <f>SUM(D35:D41)</f>
        <v>8511</v>
      </c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</row>
    <row r="43" spans="2:25">
      <c r="E43" s="48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</row>
    <row r="44" spans="2:25" ht="15.75" thickBot="1"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</row>
    <row r="45" spans="2:25">
      <c r="B45" s="49" t="s">
        <v>0</v>
      </c>
      <c r="C45" s="50" t="s">
        <v>1</v>
      </c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</row>
    <row r="46" spans="2:25">
      <c r="B46" s="4" t="s">
        <v>4</v>
      </c>
      <c r="C46" s="133">
        <f>C35</f>
        <v>70448</v>
      </c>
    </row>
    <row r="47" spans="2:25">
      <c r="B47" s="4" t="s">
        <v>3</v>
      </c>
      <c r="C47" s="133">
        <f>+C36</f>
        <v>26485</v>
      </c>
    </row>
    <row r="48" spans="2:25">
      <c r="B48" s="4" t="s">
        <v>101</v>
      </c>
      <c r="C48" s="133">
        <f>C37</f>
        <v>15302</v>
      </c>
    </row>
    <row r="49" spans="2:4">
      <c r="B49" s="4" t="s">
        <v>97</v>
      </c>
      <c r="C49" s="133">
        <f>+C38</f>
        <v>3287</v>
      </c>
    </row>
    <row r="50" spans="2:4">
      <c r="B50" s="4" t="s">
        <v>102</v>
      </c>
      <c r="C50" s="133">
        <f>+C39</f>
        <v>123</v>
      </c>
    </row>
    <row r="51" spans="2:4" ht="15.75" thickBot="1">
      <c r="B51" s="4" t="s">
        <v>106</v>
      </c>
      <c r="C51" s="66">
        <f>+C40</f>
        <v>5</v>
      </c>
      <c r="D51" t="s">
        <v>95</v>
      </c>
    </row>
    <row r="52" spans="2:4" ht="15.75" thickBot="1">
      <c r="B52" s="244" t="s">
        <v>6</v>
      </c>
      <c r="C52" s="245">
        <f>SUM(C46:C51)</f>
        <v>115650</v>
      </c>
    </row>
    <row r="54" spans="2:4" ht="15.75" thickBot="1"/>
    <row r="55" spans="2:4" ht="24.75" customHeight="1">
      <c r="B55" s="49" t="s">
        <v>0</v>
      </c>
      <c r="C55" s="75" t="s">
        <v>2</v>
      </c>
    </row>
    <row r="56" spans="2:4">
      <c r="B56" s="4" t="s">
        <v>5</v>
      </c>
      <c r="C56" s="155">
        <f>D41</f>
        <v>8510</v>
      </c>
    </row>
    <row r="57" spans="2:4">
      <c r="B57" s="81" t="s">
        <v>120</v>
      </c>
      <c r="C57" s="155">
        <f>+D39</f>
        <v>1</v>
      </c>
    </row>
    <row r="58" spans="2:4" ht="15.75" thickBot="1">
      <c r="B58" s="5" t="s">
        <v>6</v>
      </c>
      <c r="C58" s="7">
        <f>SUM(C56:C57)</f>
        <v>8511</v>
      </c>
    </row>
    <row r="59" spans="2:4">
      <c r="D59" s="48"/>
    </row>
  </sheetData>
  <mergeCells count="2">
    <mergeCell ref="B1:D1"/>
    <mergeCell ref="B33:D3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64"/>
  <sheetViews>
    <sheetView zoomScale="90" zoomScaleNormal="90" workbookViewId="0">
      <selection activeCell="B2" sqref="B2:F2"/>
    </sheetView>
  </sheetViews>
  <sheetFormatPr baseColWidth="10" defaultRowHeight="15"/>
  <cols>
    <col min="2" max="2" width="25.7109375" customWidth="1"/>
    <col min="3" max="3" width="41.42578125" customWidth="1"/>
    <col min="4" max="4" width="26.7109375" customWidth="1"/>
    <col min="5" max="5" width="18.140625" customWidth="1"/>
    <col min="6" max="6" width="22.140625" customWidth="1"/>
    <col min="15" max="15" width="24.5703125" customWidth="1"/>
    <col min="16" max="16" width="25.28515625" customWidth="1"/>
    <col min="17" max="17" width="29.7109375" customWidth="1"/>
  </cols>
  <sheetData>
    <row r="1" spans="2:6" ht="15.75" thickBot="1"/>
    <row r="2" spans="2:6" ht="37.5" customHeight="1">
      <c r="B2" s="395" t="s">
        <v>172</v>
      </c>
      <c r="C2" s="396"/>
      <c r="D2" s="396"/>
      <c r="E2" s="396"/>
      <c r="F2" s="397"/>
    </row>
    <row r="3" spans="2:6" ht="30">
      <c r="B3" s="370" t="s">
        <v>7</v>
      </c>
      <c r="C3" s="371"/>
      <c r="D3" s="15" t="s">
        <v>29</v>
      </c>
      <c r="E3" s="16" t="s">
        <v>1</v>
      </c>
      <c r="F3" s="17" t="s">
        <v>2</v>
      </c>
    </row>
    <row r="4" spans="2:6">
      <c r="B4" s="4" t="s">
        <v>9</v>
      </c>
      <c r="C4" s="18" t="s">
        <v>10</v>
      </c>
      <c r="D4" s="18" t="s">
        <v>11</v>
      </c>
      <c r="E4" s="65" t="s">
        <v>95</v>
      </c>
      <c r="F4" s="156">
        <v>8260</v>
      </c>
    </row>
    <row r="5" spans="2:6">
      <c r="B5" s="4" t="s">
        <v>186</v>
      </c>
      <c r="C5" s="18" t="s">
        <v>185</v>
      </c>
      <c r="D5" s="18" t="s">
        <v>11</v>
      </c>
      <c r="E5" s="65" t="s">
        <v>95</v>
      </c>
      <c r="F5" s="156">
        <v>1</v>
      </c>
    </row>
    <row r="6" spans="2:6">
      <c r="B6" s="4" t="s">
        <v>129</v>
      </c>
      <c r="C6" s="18" t="s">
        <v>134</v>
      </c>
      <c r="D6" s="18" t="s">
        <v>135</v>
      </c>
      <c r="E6" s="65" t="s">
        <v>95</v>
      </c>
      <c r="F6" s="156" t="s">
        <v>95</v>
      </c>
    </row>
    <row r="7" spans="2:6">
      <c r="B7" s="4" t="s">
        <v>150</v>
      </c>
      <c r="C7" s="18" t="s">
        <v>148</v>
      </c>
      <c r="D7" s="18" t="s">
        <v>149</v>
      </c>
      <c r="E7" s="65" t="s">
        <v>95</v>
      </c>
      <c r="F7" s="156" t="s">
        <v>95</v>
      </c>
    </row>
    <row r="8" spans="2:6">
      <c r="B8" s="4" t="s">
        <v>18</v>
      </c>
      <c r="C8" s="18" t="s">
        <v>19</v>
      </c>
      <c r="D8" s="18" t="s">
        <v>20</v>
      </c>
      <c r="E8" s="88">
        <v>90547</v>
      </c>
      <c r="F8" s="74" t="s">
        <v>95</v>
      </c>
    </row>
    <row r="9" spans="2:6">
      <c r="B9" s="4" t="s">
        <v>24</v>
      </c>
      <c r="C9" s="18" t="s">
        <v>25</v>
      </c>
      <c r="D9" s="18" t="s">
        <v>26</v>
      </c>
      <c r="E9" s="88">
        <v>7741</v>
      </c>
      <c r="F9" s="74" t="s">
        <v>95</v>
      </c>
    </row>
    <row r="10" spans="2:6">
      <c r="B10" s="4" t="s">
        <v>21</v>
      </c>
      <c r="C10" s="18" t="s">
        <v>22</v>
      </c>
      <c r="D10" s="18" t="s">
        <v>23</v>
      </c>
      <c r="E10" s="88">
        <v>8992</v>
      </c>
      <c r="F10" s="74" t="s">
        <v>95</v>
      </c>
    </row>
    <row r="11" spans="2:6">
      <c r="B11" s="4" t="s">
        <v>15</v>
      </c>
      <c r="C11" s="18" t="s">
        <v>16</v>
      </c>
      <c r="D11" s="18" t="s">
        <v>17</v>
      </c>
      <c r="E11" s="88">
        <v>3031</v>
      </c>
      <c r="F11" s="74" t="s">
        <v>95</v>
      </c>
    </row>
    <row r="12" spans="2:6">
      <c r="B12" s="4" t="s">
        <v>158</v>
      </c>
      <c r="C12" s="18" t="s">
        <v>161</v>
      </c>
      <c r="D12" s="18" t="s">
        <v>162</v>
      </c>
      <c r="E12" s="88">
        <v>51</v>
      </c>
      <c r="F12" s="74"/>
    </row>
    <row r="13" spans="2:6">
      <c r="B13" s="4" t="s">
        <v>159</v>
      </c>
      <c r="C13" s="18" t="s">
        <v>163</v>
      </c>
      <c r="D13" s="18" t="s">
        <v>164</v>
      </c>
      <c r="E13" s="88"/>
      <c r="F13" s="74"/>
    </row>
    <row r="14" spans="2:6">
      <c r="B14" s="4" t="s">
        <v>27</v>
      </c>
      <c r="C14" s="18" t="s">
        <v>118</v>
      </c>
      <c r="D14" s="18" t="s">
        <v>103</v>
      </c>
      <c r="E14" s="88">
        <v>2523</v>
      </c>
      <c r="F14" s="74" t="s">
        <v>95</v>
      </c>
    </row>
    <row r="15" spans="2:6">
      <c r="B15" s="4" t="s">
        <v>160</v>
      </c>
      <c r="C15" s="18" t="s">
        <v>165</v>
      </c>
      <c r="D15" s="18" t="s">
        <v>166</v>
      </c>
      <c r="E15" s="88">
        <v>5</v>
      </c>
      <c r="F15" s="74"/>
    </row>
    <row r="16" spans="2:6">
      <c r="B16" s="4" t="s">
        <v>12</v>
      </c>
      <c r="C16" s="18" t="s">
        <v>13</v>
      </c>
      <c r="D16" s="18" t="s">
        <v>14</v>
      </c>
      <c r="E16" s="88">
        <v>9</v>
      </c>
      <c r="F16" s="74" t="s">
        <v>95</v>
      </c>
    </row>
    <row r="17" spans="2:6">
      <c r="B17" s="4" t="s">
        <v>153</v>
      </c>
      <c r="C17" s="18" t="s">
        <v>154</v>
      </c>
      <c r="D17" s="18" t="s">
        <v>156</v>
      </c>
      <c r="E17" s="88">
        <v>2</v>
      </c>
      <c r="F17" s="74"/>
    </row>
    <row r="18" spans="2:6">
      <c r="B18" s="4" t="s">
        <v>136</v>
      </c>
      <c r="C18" s="18" t="s">
        <v>155</v>
      </c>
      <c r="D18" s="18" t="s">
        <v>157</v>
      </c>
      <c r="E18" s="88"/>
      <c r="F18" s="74"/>
    </row>
    <row r="19" spans="2:6">
      <c r="B19" s="4" t="s">
        <v>12</v>
      </c>
      <c r="C19" s="18" t="s">
        <v>180</v>
      </c>
      <c r="D19" s="18" t="s">
        <v>181</v>
      </c>
      <c r="E19" s="88"/>
      <c r="F19" s="74"/>
    </row>
    <row r="20" spans="2:6" ht="15" customHeight="1">
      <c r="B20" s="4" t="s">
        <v>182</v>
      </c>
      <c r="C20" s="18" t="s">
        <v>183</v>
      </c>
      <c r="D20" s="18" t="s">
        <v>184</v>
      </c>
      <c r="E20" s="88">
        <v>1</v>
      </c>
      <c r="F20" s="74"/>
    </row>
    <row r="21" spans="2:6">
      <c r="B21" s="4" t="s">
        <v>128</v>
      </c>
      <c r="C21" s="18" t="s">
        <v>130</v>
      </c>
      <c r="D21" s="18" t="s">
        <v>131</v>
      </c>
      <c r="E21" s="88"/>
      <c r="F21" s="74" t="s">
        <v>95</v>
      </c>
    </row>
    <row r="22" spans="2:6">
      <c r="B22" s="4" t="s">
        <v>117</v>
      </c>
      <c r="C22" s="18" t="s">
        <v>116</v>
      </c>
      <c r="D22" s="18" t="s">
        <v>115</v>
      </c>
      <c r="E22" s="88"/>
      <c r="F22" s="74" t="s">
        <v>95</v>
      </c>
    </row>
    <row r="23" spans="2:6">
      <c r="B23" s="4" t="s">
        <v>167</v>
      </c>
      <c r="C23" s="18" t="s">
        <v>169</v>
      </c>
      <c r="D23" s="18" t="s">
        <v>168</v>
      </c>
      <c r="E23" s="88"/>
      <c r="F23" s="74"/>
    </row>
    <row r="24" spans="2:6">
      <c r="B24" s="4" t="s">
        <v>127</v>
      </c>
      <c r="C24" s="18" t="s">
        <v>132</v>
      </c>
      <c r="D24" s="18" t="s">
        <v>133</v>
      </c>
      <c r="E24" s="88"/>
      <c r="F24" s="74" t="s">
        <v>95</v>
      </c>
    </row>
    <row r="25" spans="2:6">
      <c r="B25" s="81" t="s">
        <v>124</v>
      </c>
      <c r="C25" s="157" t="s">
        <v>144</v>
      </c>
      <c r="D25" s="157" t="s">
        <v>143</v>
      </c>
      <c r="E25" s="88">
        <v>7</v>
      </c>
      <c r="F25" s="74"/>
    </row>
    <row r="26" spans="2:6">
      <c r="B26" s="81" t="s">
        <v>141</v>
      </c>
      <c r="C26" s="157" t="s">
        <v>145</v>
      </c>
      <c r="D26" s="157" t="s">
        <v>140</v>
      </c>
      <c r="E26" s="88">
        <v>2</v>
      </c>
      <c r="F26" s="74"/>
    </row>
    <row r="27" spans="2:6">
      <c r="B27" s="81" t="s">
        <v>142</v>
      </c>
      <c r="C27" s="157" t="s">
        <v>146</v>
      </c>
      <c r="D27" s="157" t="s">
        <v>147</v>
      </c>
      <c r="E27" s="88"/>
      <c r="F27" s="74"/>
    </row>
    <row r="28" spans="2:6" ht="15.75" thickBot="1">
      <c r="B28" s="81" t="s">
        <v>105</v>
      </c>
      <c r="C28" s="157" t="s">
        <v>114</v>
      </c>
      <c r="D28" s="157" t="s">
        <v>104</v>
      </c>
      <c r="E28" s="88">
        <v>56</v>
      </c>
      <c r="F28" s="74" t="s">
        <v>95</v>
      </c>
    </row>
    <row r="29" spans="2:6" ht="15.75" thickBot="1">
      <c r="B29" s="398"/>
      <c r="C29" s="399"/>
      <c r="D29" s="401" t="s">
        <v>6</v>
      </c>
      <c r="E29" s="195">
        <f>SUM(E8:E28)</f>
        <v>112967</v>
      </c>
      <c r="F29" s="195">
        <f>SUM(F4:F28)</f>
        <v>8261</v>
      </c>
    </row>
    <row r="30" spans="2:6" ht="15.75" thickBot="1">
      <c r="B30" s="393"/>
      <c r="C30" s="400"/>
      <c r="D30" s="402"/>
      <c r="E30" s="403">
        <f>SUM(E29:F29)</f>
        <v>121228</v>
      </c>
      <c r="F30" s="404"/>
    </row>
    <row r="34" spans="2:6">
      <c r="B34" s="15" t="s">
        <v>29</v>
      </c>
      <c r="C34" s="16" t="s">
        <v>1</v>
      </c>
      <c r="D34" s="318" t="s">
        <v>151</v>
      </c>
      <c r="E34" s="68"/>
      <c r="F34" s="68"/>
    </row>
    <row r="35" spans="2:6">
      <c r="B35" s="18" t="s">
        <v>20</v>
      </c>
      <c r="C35" s="88">
        <f>+E8+E16</f>
        <v>90556</v>
      </c>
      <c r="D35" s="320">
        <f>(C35/$C$41)*100%</f>
        <v>0.80161463082139028</v>
      </c>
      <c r="E35" s="78"/>
      <c r="F35" s="68"/>
    </row>
    <row r="36" spans="2:6">
      <c r="B36" s="18" t="s">
        <v>26</v>
      </c>
      <c r="C36" s="88">
        <f>+E9</f>
        <v>7741</v>
      </c>
      <c r="D36" s="320">
        <f t="shared" ref="D36:D40" si="0">(C36/$C$41)*100%</f>
        <v>6.8524436339816058E-2</v>
      </c>
      <c r="E36" s="78"/>
      <c r="F36" s="78"/>
    </row>
    <row r="37" spans="2:6">
      <c r="B37" s="18" t="s">
        <v>23</v>
      </c>
      <c r="C37" s="88">
        <f>+E10</f>
        <v>8992</v>
      </c>
      <c r="D37" s="320">
        <f t="shared" si="0"/>
        <v>7.9598466808891086E-2</v>
      </c>
      <c r="E37" s="68"/>
      <c r="F37" s="78"/>
    </row>
    <row r="38" spans="2:6">
      <c r="B38" s="18" t="s">
        <v>17</v>
      </c>
      <c r="C38" s="88">
        <f>+E11</f>
        <v>3031</v>
      </c>
      <c r="D38" s="320">
        <f t="shared" si="0"/>
        <v>2.6830844405888444E-2</v>
      </c>
      <c r="E38" s="68"/>
      <c r="F38" s="78"/>
    </row>
    <row r="39" spans="2:6">
      <c r="B39" s="18" t="s">
        <v>103</v>
      </c>
      <c r="C39" s="88">
        <f>+E14</f>
        <v>2523</v>
      </c>
      <c r="D39" s="320">
        <f t="shared" si="0"/>
        <v>2.2333955934033832E-2</v>
      </c>
      <c r="E39" s="68"/>
      <c r="F39" s="68"/>
    </row>
    <row r="40" spans="2:6">
      <c r="B40" s="18" t="s">
        <v>93</v>
      </c>
      <c r="C40" s="88">
        <f>+E15+E17+E20+E25+E26+E28+E12</f>
        <v>124</v>
      </c>
      <c r="D40" s="320">
        <f t="shared" si="0"/>
        <v>1.0976656899802596E-3</v>
      </c>
      <c r="E40" s="68"/>
      <c r="F40" s="68"/>
    </row>
    <row r="41" spans="2:6">
      <c r="C41" s="347">
        <f>SUM(C35:C40)</f>
        <v>112967</v>
      </c>
      <c r="D41" s="348">
        <f>SUM(D35:D40)</f>
        <v>1</v>
      </c>
      <c r="E41" s="68"/>
      <c r="F41" s="78"/>
    </row>
    <row r="42" spans="2:6">
      <c r="E42" s="68"/>
      <c r="F42" s="78"/>
    </row>
    <row r="43" spans="2:6" ht="15.75" thickBot="1">
      <c r="E43" s="68"/>
      <c r="F43" s="78"/>
    </row>
    <row r="44" spans="2:6">
      <c r="B44" s="199" t="s">
        <v>29</v>
      </c>
      <c r="C44" s="319" t="s">
        <v>2</v>
      </c>
      <c r="D44" s="318" t="s">
        <v>151</v>
      </c>
      <c r="E44" s="68"/>
      <c r="F44" s="78"/>
    </row>
    <row r="45" spans="2:6">
      <c r="B45" s="4" t="s">
        <v>11</v>
      </c>
      <c r="C45" s="88">
        <f>+F4</f>
        <v>8260</v>
      </c>
      <c r="D45" s="322">
        <f>(C45/C47)*100%</f>
        <v>0.99987894927974819</v>
      </c>
      <c r="E45" s="68"/>
      <c r="F45" s="78"/>
    </row>
    <row r="46" spans="2:6" ht="15.75" thickBot="1">
      <c r="B46" s="19" t="s">
        <v>11</v>
      </c>
      <c r="C46" s="88">
        <v>1</v>
      </c>
      <c r="D46" s="322">
        <f>(C46/C47)*100%</f>
        <v>1.210507202517855E-4</v>
      </c>
    </row>
    <row r="47" spans="2:6">
      <c r="C47" s="347">
        <f>SUM(C45:C46)</f>
        <v>8261</v>
      </c>
      <c r="D47" s="348">
        <f>SUM(D45:D46)</f>
        <v>1</v>
      </c>
    </row>
    <row r="49" spans="2:6" ht="15.75" thickBot="1"/>
    <row r="50" spans="2:6" ht="37.5" customHeight="1">
      <c r="B50" s="388" t="s">
        <v>187</v>
      </c>
      <c r="C50" s="389"/>
      <c r="D50" s="389"/>
      <c r="E50" s="389"/>
      <c r="F50" s="390"/>
    </row>
    <row r="51" spans="2:6" ht="35.25" customHeight="1">
      <c r="B51" s="370" t="s">
        <v>7</v>
      </c>
      <c r="C51" s="371"/>
      <c r="D51" s="15" t="s">
        <v>8</v>
      </c>
      <c r="E51" s="16" t="s">
        <v>1</v>
      </c>
      <c r="F51" s="17" t="s">
        <v>2</v>
      </c>
    </row>
    <row r="52" spans="2:6">
      <c r="B52" s="4" t="s">
        <v>9</v>
      </c>
      <c r="C52" s="18" t="s">
        <v>10</v>
      </c>
      <c r="D52" s="18" t="s">
        <v>11</v>
      </c>
      <c r="E52" s="65" t="s">
        <v>95</v>
      </c>
      <c r="F52" s="156">
        <v>8260</v>
      </c>
    </row>
    <row r="53" spans="2:6">
      <c r="B53" s="4" t="s">
        <v>129</v>
      </c>
      <c r="C53" s="18" t="s">
        <v>134</v>
      </c>
      <c r="D53" s="18" t="s">
        <v>135</v>
      </c>
      <c r="E53" s="65" t="s">
        <v>95</v>
      </c>
      <c r="F53" s="156" t="s">
        <v>95</v>
      </c>
    </row>
    <row r="54" spans="2:6">
      <c r="B54" s="4" t="s">
        <v>150</v>
      </c>
      <c r="C54" s="18" t="s">
        <v>148</v>
      </c>
      <c r="D54" s="18" t="s">
        <v>149</v>
      </c>
      <c r="E54" s="65" t="s">
        <v>95</v>
      </c>
      <c r="F54" s="156" t="s">
        <v>95</v>
      </c>
    </row>
    <row r="55" spans="2:6">
      <c r="B55" s="4" t="s">
        <v>18</v>
      </c>
      <c r="C55" s="18" t="s">
        <v>19</v>
      </c>
      <c r="D55" s="18" t="s">
        <v>20</v>
      </c>
      <c r="E55" s="88">
        <v>80853</v>
      </c>
      <c r="F55" s="74" t="s">
        <v>95</v>
      </c>
    </row>
    <row r="56" spans="2:6">
      <c r="B56" s="4" t="s">
        <v>24</v>
      </c>
      <c r="C56" s="18" t="s">
        <v>25</v>
      </c>
      <c r="D56" s="18" t="s">
        <v>26</v>
      </c>
      <c r="E56" s="88">
        <v>3382</v>
      </c>
      <c r="F56" s="74" t="s">
        <v>95</v>
      </c>
    </row>
    <row r="57" spans="2:6">
      <c r="B57" s="4" t="s">
        <v>21</v>
      </c>
      <c r="C57" s="18" t="s">
        <v>22</v>
      </c>
      <c r="D57" s="18" t="s">
        <v>23</v>
      </c>
      <c r="E57" s="88">
        <v>9785</v>
      </c>
      <c r="F57" s="74" t="s">
        <v>95</v>
      </c>
    </row>
    <row r="58" spans="2:6">
      <c r="B58" s="4" t="s">
        <v>15</v>
      </c>
      <c r="C58" s="18" t="s">
        <v>16</v>
      </c>
      <c r="D58" s="18" t="s">
        <v>17</v>
      </c>
      <c r="E58" s="88">
        <v>3200</v>
      </c>
      <c r="F58" s="74" t="s">
        <v>95</v>
      </c>
    </row>
    <row r="59" spans="2:6">
      <c r="B59" s="4" t="s">
        <v>27</v>
      </c>
      <c r="C59" s="18" t="s">
        <v>118</v>
      </c>
      <c r="D59" s="18" t="s">
        <v>103</v>
      </c>
      <c r="E59" s="88">
        <v>2599</v>
      </c>
      <c r="F59" s="74" t="s">
        <v>95</v>
      </c>
    </row>
    <row r="60" spans="2:6">
      <c r="B60" s="4" t="s">
        <v>12</v>
      </c>
      <c r="C60" s="18" t="s">
        <v>13</v>
      </c>
      <c r="D60" s="18" t="s">
        <v>14</v>
      </c>
      <c r="E60" s="88">
        <v>29</v>
      </c>
      <c r="F60" s="74" t="s">
        <v>95</v>
      </c>
    </row>
    <row r="61" spans="2:6">
      <c r="B61" s="4" t="s">
        <v>153</v>
      </c>
      <c r="C61" s="18" t="s">
        <v>154</v>
      </c>
      <c r="D61" s="18" t="s">
        <v>156</v>
      </c>
      <c r="E61" s="88">
        <v>6</v>
      </c>
      <c r="F61" s="74"/>
    </row>
    <row r="62" spans="2:6">
      <c r="B62" s="4" t="s">
        <v>136</v>
      </c>
      <c r="C62" s="18" t="s">
        <v>155</v>
      </c>
      <c r="D62" s="18" t="s">
        <v>157</v>
      </c>
      <c r="E62" s="88"/>
      <c r="F62" s="74"/>
    </row>
    <row r="63" spans="2:6" ht="14.25" customHeight="1">
      <c r="B63" s="4" t="s">
        <v>128</v>
      </c>
      <c r="C63" s="18" t="s">
        <v>130</v>
      </c>
      <c r="D63" s="18" t="s">
        <v>131</v>
      </c>
      <c r="E63" s="88"/>
      <c r="F63" s="74" t="s">
        <v>95</v>
      </c>
    </row>
    <row r="64" spans="2:6" ht="14.25" customHeight="1">
      <c r="B64" s="4" t="s">
        <v>117</v>
      </c>
      <c r="C64" s="18" t="s">
        <v>116</v>
      </c>
      <c r="D64" s="18" t="s">
        <v>115</v>
      </c>
      <c r="E64" s="88"/>
      <c r="F64" s="74" t="s">
        <v>95</v>
      </c>
    </row>
    <row r="65" spans="2:6" ht="14.25" customHeight="1">
      <c r="B65" s="4" t="s">
        <v>127</v>
      </c>
      <c r="C65" s="18" t="s">
        <v>132</v>
      </c>
      <c r="D65" s="18" t="s">
        <v>133</v>
      </c>
      <c r="E65" s="88"/>
      <c r="F65" s="74" t="s">
        <v>95</v>
      </c>
    </row>
    <row r="66" spans="2:6" ht="14.25" customHeight="1">
      <c r="B66" s="81" t="s">
        <v>124</v>
      </c>
      <c r="C66" s="157" t="s">
        <v>144</v>
      </c>
      <c r="D66" s="157" t="s">
        <v>143</v>
      </c>
      <c r="E66" s="88">
        <v>1</v>
      </c>
      <c r="F66" s="74"/>
    </row>
    <row r="67" spans="2:6" ht="14.25" customHeight="1">
      <c r="B67" s="81" t="s">
        <v>141</v>
      </c>
      <c r="C67" s="157" t="s">
        <v>145</v>
      </c>
      <c r="D67" s="157" t="s">
        <v>140</v>
      </c>
      <c r="E67" s="88">
        <v>9</v>
      </c>
      <c r="F67" s="74"/>
    </row>
    <row r="68" spans="2:6" ht="14.25" customHeight="1">
      <c r="B68" s="81" t="s">
        <v>142</v>
      </c>
      <c r="C68" s="157" t="s">
        <v>146</v>
      </c>
      <c r="D68" s="157" t="s">
        <v>147</v>
      </c>
      <c r="E68" s="88"/>
      <c r="F68" s="74"/>
    </row>
    <row r="69" spans="2:6" ht="14.25" customHeight="1">
      <c r="B69" s="81" t="s">
        <v>105</v>
      </c>
      <c r="C69" s="157" t="s">
        <v>114</v>
      </c>
      <c r="D69" s="157" t="s">
        <v>104</v>
      </c>
      <c r="E69" s="88">
        <v>4</v>
      </c>
      <c r="F69" s="74" t="s">
        <v>95</v>
      </c>
    </row>
    <row r="70" spans="2:6" ht="15.75" thickBot="1">
      <c r="B70" s="391"/>
      <c r="C70" s="392"/>
      <c r="D70" s="372" t="s">
        <v>6</v>
      </c>
      <c r="E70" s="323">
        <f>SUM(E55:E69)</f>
        <v>99868</v>
      </c>
      <c r="F70" s="323">
        <f>SUM(F52:F69)</f>
        <v>8260</v>
      </c>
    </row>
    <row r="71" spans="2:6" ht="15.75" thickBot="1">
      <c r="B71" s="393"/>
      <c r="C71" s="394"/>
      <c r="D71" s="373"/>
      <c r="E71" s="383">
        <f>SUM(E70:F70)</f>
        <v>108128</v>
      </c>
      <c r="F71" s="384"/>
    </row>
    <row r="73" spans="2:6">
      <c r="F73" s="78"/>
    </row>
    <row r="74" spans="2:6">
      <c r="B74" s="15" t="s">
        <v>29</v>
      </c>
      <c r="C74" s="16" t="s">
        <v>1</v>
      </c>
      <c r="D74" s="318" t="s">
        <v>151</v>
      </c>
      <c r="E74" s="69"/>
      <c r="F74" s="78"/>
    </row>
    <row r="75" spans="2:6">
      <c r="B75" s="18" t="s">
        <v>20</v>
      </c>
      <c r="C75" s="88">
        <f>+E55+E60</f>
        <v>80882</v>
      </c>
      <c r="D75" s="320">
        <f>(C75/$C$41)*100%</f>
        <v>0.71597900271760784</v>
      </c>
      <c r="E75" s="69"/>
      <c r="F75" s="69"/>
    </row>
    <row r="76" spans="2:6">
      <c r="B76" s="18" t="s">
        <v>26</v>
      </c>
      <c r="C76" s="88">
        <f>+E56</f>
        <v>3382</v>
      </c>
      <c r="D76" s="320">
        <f t="shared" ref="D76:D80" si="1">(C76/$C$41)*100%</f>
        <v>2.9937946479945472E-2</v>
      </c>
      <c r="E76" s="69"/>
      <c r="F76" s="69"/>
    </row>
    <row r="77" spans="2:6" ht="19.5" customHeight="1">
      <c r="B77" s="18" t="s">
        <v>23</v>
      </c>
      <c r="C77" s="88">
        <f>+E57</f>
        <v>9785</v>
      </c>
      <c r="D77" s="320">
        <f t="shared" si="1"/>
        <v>8.6618215939168075E-2</v>
      </c>
      <c r="E77" s="69"/>
      <c r="F77" s="69"/>
    </row>
    <row r="78" spans="2:6" ht="19.5" customHeight="1">
      <c r="B78" s="18" t="s">
        <v>17</v>
      </c>
      <c r="C78" s="88">
        <f>+E58</f>
        <v>3200</v>
      </c>
      <c r="D78" s="320">
        <f t="shared" si="1"/>
        <v>2.8326856515619607E-2</v>
      </c>
      <c r="E78" s="69"/>
      <c r="F78" s="69"/>
    </row>
    <row r="79" spans="2:6">
      <c r="B79" s="18" t="s">
        <v>103</v>
      </c>
      <c r="C79" s="88">
        <f>+E59</f>
        <v>2599</v>
      </c>
      <c r="D79" s="320">
        <f t="shared" si="1"/>
        <v>2.30067187762798E-2</v>
      </c>
      <c r="E79" s="69"/>
      <c r="F79" s="69"/>
    </row>
    <row r="80" spans="2:6">
      <c r="B80" s="18" t="s">
        <v>93</v>
      </c>
      <c r="C80" s="88">
        <f>+E69+E67+E66+E61</f>
        <v>20</v>
      </c>
      <c r="D80" s="320">
        <f t="shared" si="1"/>
        <v>1.7704285322262255E-4</v>
      </c>
      <c r="E80" s="55"/>
      <c r="F80" s="55"/>
    </row>
    <row r="81" spans="2:6">
      <c r="C81" s="347">
        <f>SUM(C75:C80)</f>
        <v>99868</v>
      </c>
      <c r="D81" s="476">
        <f>SUM(D75:D80)</f>
        <v>0.88404578328184347</v>
      </c>
      <c r="E81" s="55"/>
      <c r="F81" s="55"/>
    </row>
    <row r="82" spans="2:6">
      <c r="E82" s="55"/>
      <c r="F82" s="55"/>
    </row>
    <row r="83" spans="2:6" ht="15.75" thickBot="1">
      <c r="E83" s="70"/>
      <c r="F83" s="55"/>
    </row>
    <row r="84" spans="2:6">
      <c r="B84" s="199" t="s">
        <v>29</v>
      </c>
      <c r="C84" s="319" t="s">
        <v>2</v>
      </c>
      <c r="D84" s="318" t="s">
        <v>151</v>
      </c>
      <c r="E84" s="70"/>
      <c r="F84" s="70"/>
    </row>
    <row r="85" spans="2:6">
      <c r="B85" s="4" t="s">
        <v>11</v>
      </c>
      <c r="C85" s="88">
        <v>8260</v>
      </c>
      <c r="D85" s="322">
        <f>(C85/C87)*100%</f>
        <v>1</v>
      </c>
      <c r="E85" s="70"/>
      <c r="F85" s="70"/>
    </row>
    <row r="86" spans="2:6" ht="15.75" thickBot="1">
      <c r="B86" s="19" t="s">
        <v>149</v>
      </c>
      <c r="C86" s="88">
        <v>0</v>
      </c>
      <c r="D86" s="322">
        <f>(C86/C87)*100%</f>
        <v>0</v>
      </c>
      <c r="E86" s="71"/>
      <c r="F86" s="71"/>
    </row>
    <row r="87" spans="2:6">
      <c r="C87" s="347">
        <f>SUM(C85:C86)</f>
        <v>8260</v>
      </c>
      <c r="D87" s="348">
        <f>SUM(D85:D86)</f>
        <v>1</v>
      </c>
      <c r="E87" s="71"/>
      <c r="F87" s="71"/>
    </row>
    <row r="88" spans="2:6">
      <c r="E88" s="71"/>
      <c r="F88" s="71"/>
    </row>
    <row r="89" spans="2:6" ht="15.75" thickBot="1">
      <c r="F89" s="71"/>
    </row>
    <row r="90" spans="2:6" ht="26.25" customHeight="1" thickBot="1">
      <c r="B90" s="385" t="s">
        <v>178</v>
      </c>
      <c r="C90" s="386"/>
      <c r="D90" s="386"/>
      <c r="E90" s="387"/>
    </row>
    <row r="91" spans="2:6" ht="30.75" thickBot="1">
      <c r="B91" s="310" t="s">
        <v>28</v>
      </c>
      <c r="C91" s="311" t="s">
        <v>0</v>
      </c>
      <c r="D91" s="312" t="s">
        <v>29</v>
      </c>
      <c r="E91" s="313" t="s">
        <v>8</v>
      </c>
    </row>
    <row r="92" spans="2:6">
      <c r="B92" s="261" t="s">
        <v>30</v>
      </c>
      <c r="C92" s="262" t="s">
        <v>3</v>
      </c>
      <c r="D92" s="263">
        <v>184</v>
      </c>
      <c r="E92" s="264">
        <v>189</v>
      </c>
      <c r="F92" s="8"/>
    </row>
    <row r="93" spans="2:6">
      <c r="B93" s="4" t="s">
        <v>31</v>
      </c>
      <c r="C93" s="18" t="s">
        <v>4</v>
      </c>
      <c r="D93" s="88">
        <v>448</v>
      </c>
      <c r="E93" s="156">
        <v>457</v>
      </c>
      <c r="F93" s="8"/>
    </row>
    <row r="94" spans="2:6">
      <c r="B94" s="4" t="s">
        <v>5</v>
      </c>
      <c r="C94" s="18" t="s">
        <v>5</v>
      </c>
      <c r="D94" s="88">
        <v>58</v>
      </c>
      <c r="E94" s="156">
        <v>59</v>
      </c>
      <c r="F94" s="8"/>
    </row>
    <row r="95" spans="2:6">
      <c r="B95" s="4" t="s">
        <v>97</v>
      </c>
      <c r="C95" s="18" t="s">
        <v>97</v>
      </c>
      <c r="D95" s="88">
        <v>111</v>
      </c>
      <c r="E95" s="156">
        <v>112</v>
      </c>
      <c r="F95" s="8"/>
    </row>
    <row r="96" spans="2:6" ht="15.75" thickBot="1">
      <c r="B96" s="19" t="s">
        <v>113</v>
      </c>
      <c r="C96" s="265" t="s">
        <v>101</v>
      </c>
      <c r="D96" s="266">
        <v>97</v>
      </c>
      <c r="E96" s="200">
        <v>98</v>
      </c>
      <c r="F96" s="8"/>
    </row>
    <row r="97" spans="2:6" ht="15.75" thickBot="1">
      <c r="B97" s="374" t="s">
        <v>122</v>
      </c>
      <c r="C97" s="375"/>
      <c r="D97" s="251">
        <f>SUM(D92:D96)</f>
        <v>898</v>
      </c>
      <c r="E97" s="252">
        <f>SUM(E92:E96)</f>
        <v>915</v>
      </c>
      <c r="F97" s="8"/>
    </row>
    <row r="98" spans="2:6" ht="15.75" thickBot="1">
      <c r="B98" s="376"/>
      <c r="C98" s="377"/>
      <c r="D98" s="378">
        <v>194</v>
      </c>
      <c r="E98" s="379"/>
      <c r="F98" s="8"/>
    </row>
    <row r="99" spans="2:6">
      <c r="B99" s="253" t="s">
        <v>102</v>
      </c>
      <c r="C99" s="254" t="s">
        <v>120</v>
      </c>
      <c r="D99" s="255">
        <v>185</v>
      </c>
      <c r="E99" s="256">
        <v>194</v>
      </c>
      <c r="F99" s="8"/>
    </row>
    <row r="100" spans="2:6" ht="15.75" thickBot="1">
      <c r="B100" s="257" t="s">
        <v>119</v>
      </c>
      <c r="C100" s="258" t="s">
        <v>121</v>
      </c>
      <c r="D100" s="259">
        <v>15</v>
      </c>
      <c r="E100" s="260">
        <v>15</v>
      </c>
      <c r="F100" s="8"/>
    </row>
    <row r="101" spans="2:6" ht="15.75" thickBot="1">
      <c r="B101" s="374" t="s">
        <v>123</v>
      </c>
      <c r="C101" s="375"/>
      <c r="D101" s="251">
        <f>SUM(D99:D100)</f>
        <v>200</v>
      </c>
      <c r="E101" s="252">
        <f>SUM(E99:E100)</f>
        <v>209</v>
      </c>
      <c r="F101" s="8"/>
    </row>
    <row r="102" spans="2:6" ht="20.25" customHeight="1" thickBot="1">
      <c r="B102" s="376"/>
      <c r="C102" s="377"/>
      <c r="D102" s="378">
        <f>SUM(D101:E101)</f>
        <v>409</v>
      </c>
      <c r="E102" s="379"/>
    </row>
    <row r="103" spans="2:6" ht="27.75" customHeight="1" thickBot="1">
      <c r="B103" s="380" t="s">
        <v>179</v>
      </c>
      <c r="C103" s="381"/>
      <c r="D103" s="382">
        <f>(D98+D102)</f>
        <v>603</v>
      </c>
      <c r="E103" s="381"/>
    </row>
    <row r="104" spans="2:6" ht="15.75" thickBot="1"/>
    <row r="105" spans="2:6">
      <c r="B105" s="20" t="s">
        <v>0</v>
      </c>
      <c r="C105" s="21" t="s">
        <v>29</v>
      </c>
    </row>
    <row r="106" spans="2:6">
      <c r="B106" s="18" t="s">
        <v>4</v>
      </c>
      <c r="C106" s="72">
        <f>+D93</f>
        <v>448</v>
      </c>
      <c r="D106" s="61"/>
      <c r="E106" s="62"/>
    </row>
    <row r="107" spans="2:6">
      <c r="B107" s="18" t="s">
        <v>120</v>
      </c>
      <c r="C107" s="72">
        <f>+D99</f>
        <v>185</v>
      </c>
      <c r="D107" s="61"/>
      <c r="E107" s="62"/>
    </row>
    <row r="108" spans="2:6">
      <c r="B108" s="18" t="s">
        <v>3</v>
      </c>
      <c r="C108" s="72">
        <f>+D92</f>
        <v>184</v>
      </c>
      <c r="D108" s="61"/>
      <c r="E108" s="62"/>
    </row>
    <row r="109" spans="2:6">
      <c r="B109" s="18" t="s">
        <v>97</v>
      </c>
      <c r="C109" s="72">
        <f>+D95</f>
        <v>111</v>
      </c>
      <c r="D109" s="61"/>
      <c r="E109" s="62"/>
    </row>
    <row r="110" spans="2:6">
      <c r="B110" s="18" t="s">
        <v>101</v>
      </c>
      <c r="C110" s="72">
        <f>+D96</f>
        <v>97</v>
      </c>
      <c r="D110" s="61"/>
      <c r="E110" s="62"/>
    </row>
    <row r="111" spans="2:6">
      <c r="B111" s="18" t="s">
        <v>5</v>
      </c>
      <c r="C111" s="72">
        <f>+D94</f>
        <v>58</v>
      </c>
      <c r="D111" s="61"/>
      <c r="E111" s="62"/>
    </row>
    <row r="112" spans="2:6">
      <c r="B112" s="18" t="s">
        <v>121</v>
      </c>
      <c r="C112" s="72">
        <f>+D100</f>
        <v>15</v>
      </c>
      <c r="D112" s="61"/>
      <c r="E112" s="62"/>
    </row>
    <row r="113" spans="2:5">
      <c r="B113" s="54"/>
      <c r="C113" s="325">
        <f>SUM(C106:C112)</f>
        <v>1098</v>
      </c>
      <c r="D113" s="61"/>
      <c r="E113" s="62"/>
    </row>
    <row r="114" spans="2:5" ht="15.75" thickBot="1"/>
    <row r="115" spans="2:5">
      <c r="B115" s="20" t="s">
        <v>0</v>
      </c>
      <c r="C115" s="50" t="s">
        <v>8</v>
      </c>
    </row>
    <row r="116" spans="2:5">
      <c r="B116" s="18" t="s">
        <v>4</v>
      </c>
      <c r="C116" s="73">
        <f>+E93</f>
        <v>457</v>
      </c>
    </row>
    <row r="117" spans="2:5">
      <c r="B117" s="18" t="s">
        <v>120</v>
      </c>
      <c r="C117" s="73">
        <f>+E99</f>
        <v>194</v>
      </c>
    </row>
    <row r="118" spans="2:5">
      <c r="B118" s="18" t="s">
        <v>3</v>
      </c>
      <c r="C118" s="73">
        <f>+E92</f>
        <v>189</v>
      </c>
    </row>
    <row r="119" spans="2:5">
      <c r="B119" s="18" t="s">
        <v>97</v>
      </c>
      <c r="C119" s="73">
        <f>+E95</f>
        <v>112</v>
      </c>
    </row>
    <row r="120" spans="2:5">
      <c r="B120" s="18" t="s">
        <v>101</v>
      </c>
      <c r="C120" s="73">
        <f>+E96</f>
        <v>98</v>
      </c>
    </row>
    <row r="121" spans="2:5">
      <c r="B121" s="18" t="s">
        <v>5</v>
      </c>
      <c r="C121" s="73">
        <f>+E94</f>
        <v>59</v>
      </c>
    </row>
    <row r="122" spans="2:5">
      <c r="B122" s="18" t="s">
        <v>121</v>
      </c>
      <c r="C122" s="73">
        <f>+E100</f>
        <v>15</v>
      </c>
    </row>
    <row r="123" spans="2:5">
      <c r="B123" s="324"/>
      <c r="C123" s="475">
        <f>SUM(C116:C122)</f>
        <v>1124</v>
      </c>
    </row>
    <row r="124" spans="2:5" ht="15.75" thickBot="1">
      <c r="B124" s="158"/>
      <c r="C124" s="158"/>
    </row>
    <row r="125" spans="2:5">
      <c r="B125" s="367" t="s">
        <v>32</v>
      </c>
      <c r="C125" s="368"/>
    </row>
    <row r="126" spans="2:5">
      <c r="B126" s="327" t="s">
        <v>0</v>
      </c>
      <c r="C126" s="328" t="s">
        <v>33</v>
      </c>
      <c r="D126" s="93"/>
    </row>
    <row r="127" spans="2:5">
      <c r="B127" s="18" t="s">
        <v>3</v>
      </c>
      <c r="C127" s="88">
        <f>C108+C118</f>
        <v>373</v>
      </c>
      <c r="D127" s="226"/>
    </row>
    <row r="128" spans="2:5">
      <c r="B128" s="18" t="s">
        <v>4</v>
      </c>
      <c r="C128" s="88">
        <f>C106+C116</f>
        <v>905</v>
      </c>
      <c r="D128" s="226"/>
    </row>
    <row r="129" spans="2:4">
      <c r="B129" s="18" t="s">
        <v>97</v>
      </c>
      <c r="C129" s="88">
        <f>C109+C119</f>
        <v>223</v>
      </c>
      <c r="D129" s="226"/>
    </row>
    <row r="130" spans="2:4">
      <c r="B130" s="18" t="s">
        <v>101</v>
      </c>
      <c r="C130" s="88">
        <f>C110+C120</f>
        <v>195</v>
      </c>
      <c r="D130" s="226"/>
    </row>
    <row r="131" spans="2:4">
      <c r="B131" s="18" t="s">
        <v>120</v>
      </c>
      <c r="C131" s="72">
        <f>C107+C117</f>
        <v>379</v>
      </c>
      <c r="D131" s="197"/>
    </row>
    <row r="132" spans="2:4">
      <c r="B132" s="18" t="s">
        <v>121</v>
      </c>
      <c r="C132" s="329">
        <f>C112+C122</f>
        <v>30</v>
      </c>
      <c r="D132" s="22"/>
    </row>
    <row r="133" spans="2:4">
      <c r="B133" s="321"/>
      <c r="C133" s="349">
        <f>SUM(C127:C132)</f>
        <v>2105</v>
      </c>
      <c r="D133" s="22"/>
    </row>
    <row r="134" spans="2:4">
      <c r="B134" s="321"/>
      <c r="C134" s="326"/>
      <c r="D134" s="22"/>
    </row>
    <row r="135" spans="2:4">
      <c r="B135" s="369" t="s">
        <v>34</v>
      </c>
      <c r="C135" s="369"/>
      <c r="D135" s="22"/>
    </row>
    <row r="136" spans="2:4" ht="14.25" customHeight="1">
      <c r="B136" s="327" t="s">
        <v>0</v>
      </c>
      <c r="C136" s="328" t="s">
        <v>33</v>
      </c>
      <c r="D136" s="330"/>
    </row>
    <row r="137" spans="2:4" ht="14.25" customHeight="1">
      <c r="B137" s="18" t="s">
        <v>5</v>
      </c>
      <c r="C137" s="72">
        <f>C121+C111</f>
        <v>117</v>
      </c>
      <c r="D137" s="226"/>
    </row>
    <row r="138" spans="2:4" ht="14.25" customHeight="1">
      <c r="B138" s="18"/>
      <c r="C138" s="72">
        <f>+C137</f>
        <v>117</v>
      </c>
      <c r="D138" s="226"/>
    </row>
    <row r="139" spans="2:4" ht="14.25" customHeight="1">
      <c r="B139" s="54"/>
      <c r="C139" s="173"/>
      <c r="D139" s="226"/>
    </row>
    <row r="140" spans="2:4">
      <c r="B140" s="369" t="s">
        <v>94</v>
      </c>
      <c r="C140" s="369"/>
    </row>
    <row r="141" spans="2:4">
      <c r="B141" s="327" t="s">
        <v>0</v>
      </c>
      <c r="C141" s="328" t="s">
        <v>33</v>
      </c>
    </row>
    <row r="142" spans="2:4">
      <c r="B142" s="18" t="s">
        <v>4</v>
      </c>
      <c r="C142" s="88">
        <f>+C128</f>
        <v>905</v>
      </c>
      <c r="D142" s="226"/>
    </row>
    <row r="143" spans="2:4">
      <c r="B143" s="18" t="s">
        <v>3</v>
      </c>
      <c r="C143" s="88">
        <f>+C127</f>
        <v>373</v>
      </c>
      <c r="D143" s="226"/>
    </row>
    <row r="144" spans="2:4">
      <c r="B144" s="18" t="s">
        <v>97</v>
      </c>
      <c r="C144" s="88">
        <f>+C129</f>
        <v>223</v>
      </c>
      <c r="D144" s="226"/>
    </row>
    <row r="145" spans="2:4">
      <c r="B145" s="18" t="s">
        <v>101</v>
      </c>
      <c r="C145" s="88">
        <f>+C130</f>
        <v>195</v>
      </c>
      <c r="D145" s="226"/>
    </row>
    <row r="146" spans="2:4">
      <c r="B146" s="18" t="s">
        <v>5</v>
      </c>
      <c r="C146" s="88">
        <f>+C137</f>
        <v>117</v>
      </c>
      <c r="D146" s="226"/>
    </row>
    <row r="147" spans="2:4">
      <c r="B147" s="18" t="s">
        <v>120</v>
      </c>
      <c r="C147" s="88">
        <f>+C131</f>
        <v>379</v>
      </c>
      <c r="D147" s="226"/>
    </row>
    <row r="148" spans="2:4">
      <c r="B148" s="18" t="s">
        <v>121</v>
      </c>
      <c r="C148" s="88">
        <f>+C132</f>
        <v>30</v>
      </c>
      <c r="D148" s="226"/>
    </row>
    <row r="149" spans="2:4" ht="14.25" customHeight="1">
      <c r="C149" s="347">
        <f>C142+C143+C144+C146+C145+C147+C148</f>
        <v>2222</v>
      </c>
    </row>
    <row r="159" spans="2:4">
      <c r="B159" s="173"/>
    </row>
    <row r="160" spans="2:4">
      <c r="B160" s="173"/>
    </row>
    <row r="161" spans="2:2">
      <c r="B161" s="173"/>
    </row>
    <row r="162" spans="2:2">
      <c r="B162" s="173"/>
    </row>
    <row r="163" spans="2:2">
      <c r="B163" s="173"/>
    </row>
    <row r="164" spans="2:2">
      <c r="B164" s="173"/>
    </row>
  </sheetData>
  <mergeCells count="20">
    <mergeCell ref="B50:F50"/>
    <mergeCell ref="B70:C71"/>
    <mergeCell ref="B2:F2"/>
    <mergeCell ref="B3:C3"/>
    <mergeCell ref="B29:C30"/>
    <mergeCell ref="D29:D30"/>
    <mergeCell ref="E30:F30"/>
    <mergeCell ref="B125:C125"/>
    <mergeCell ref="B135:C135"/>
    <mergeCell ref="B140:C140"/>
    <mergeCell ref="B51:C51"/>
    <mergeCell ref="D70:D71"/>
    <mergeCell ref="B101:C102"/>
    <mergeCell ref="D102:E102"/>
    <mergeCell ref="B103:C103"/>
    <mergeCell ref="D103:E103"/>
    <mergeCell ref="E71:F71"/>
    <mergeCell ref="B90:E90"/>
    <mergeCell ref="B97:C98"/>
    <mergeCell ref="D98:E98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P171"/>
  <sheetViews>
    <sheetView view="pageBreakPreview" zoomScale="80" zoomScaleNormal="100" zoomScaleSheetLayoutView="80" workbookViewId="0">
      <selection activeCell="A63" sqref="A63"/>
    </sheetView>
  </sheetViews>
  <sheetFormatPr baseColWidth="10" defaultRowHeight="15"/>
  <cols>
    <col min="2" max="2" width="24.42578125" customWidth="1"/>
    <col min="3" max="3" width="18.5703125" bestFit="1" customWidth="1"/>
    <col min="4" max="4" width="15.28515625" bestFit="1" customWidth="1"/>
    <col min="5" max="5" width="15.5703125" customWidth="1"/>
    <col min="6" max="6" width="14.140625" customWidth="1"/>
    <col min="7" max="7" width="14.42578125" customWidth="1"/>
    <col min="8" max="8" width="14.28515625" bestFit="1" customWidth="1"/>
    <col min="9" max="9" width="14.140625" customWidth="1"/>
    <col min="10" max="10" width="14" bestFit="1" customWidth="1"/>
    <col min="11" max="11" width="16.5703125" customWidth="1"/>
    <col min="12" max="12" width="15" customWidth="1"/>
    <col min="13" max="13" width="13.42578125" customWidth="1"/>
    <col min="15" max="15" width="33.42578125" customWidth="1"/>
    <col min="16" max="16" width="14.42578125" customWidth="1"/>
    <col min="17" max="17" width="13.5703125" customWidth="1"/>
    <col min="18" max="18" width="11.7109375" customWidth="1"/>
    <col min="19" max="19" width="13.42578125" customWidth="1"/>
    <col min="20" max="20" width="12" customWidth="1"/>
    <col min="21" max="21" width="13.42578125" customWidth="1"/>
    <col min="22" max="22" width="10.28515625" customWidth="1"/>
    <col min="23" max="23" width="13.5703125" customWidth="1"/>
    <col min="24" max="24" width="12.140625" customWidth="1"/>
    <col min="25" max="25" width="12.28515625" customWidth="1"/>
    <col min="26" max="26" width="13.85546875" customWidth="1"/>
    <col min="27" max="27" width="13.140625" customWidth="1"/>
    <col min="28" max="28" width="13.7109375" customWidth="1"/>
    <col min="29" max="29" width="12" customWidth="1"/>
    <col min="30" max="30" width="14.28515625" customWidth="1"/>
    <col min="31" max="31" width="14.28515625" bestFit="1" customWidth="1"/>
    <col min="32" max="32" width="13.140625" customWidth="1"/>
  </cols>
  <sheetData>
    <row r="1" spans="2:12" ht="15.75" thickBot="1"/>
    <row r="2" spans="2:12" ht="24" customHeight="1" thickBot="1">
      <c r="B2" s="408" t="s">
        <v>107</v>
      </c>
      <c r="C2" s="409"/>
      <c r="D2" s="409"/>
      <c r="E2" s="409"/>
      <c r="F2" s="409"/>
      <c r="G2" s="409"/>
      <c r="H2" s="409"/>
      <c r="I2" s="409"/>
      <c r="J2" s="409"/>
      <c r="K2" s="409"/>
      <c r="L2" s="410"/>
    </row>
    <row r="3" spans="2:12" ht="16.5" thickBot="1">
      <c r="B3" s="203" t="s">
        <v>35</v>
      </c>
      <c r="C3" s="204">
        <v>2016</v>
      </c>
      <c r="D3" s="204">
        <v>2017</v>
      </c>
      <c r="E3" s="204">
        <v>2018</v>
      </c>
      <c r="F3" s="204">
        <v>2019</v>
      </c>
      <c r="G3" s="204">
        <v>2020</v>
      </c>
      <c r="H3" s="204">
        <v>2021</v>
      </c>
      <c r="I3" s="204">
        <v>2022</v>
      </c>
      <c r="J3" s="204">
        <v>2023</v>
      </c>
      <c r="K3" s="204">
        <v>2024</v>
      </c>
      <c r="L3" s="205">
        <v>2025</v>
      </c>
    </row>
    <row r="4" spans="2:12" ht="15.75">
      <c r="B4" s="208" t="s">
        <v>36</v>
      </c>
      <c r="C4" s="206">
        <v>1727</v>
      </c>
      <c r="D4" s="202">
        <v>1818</v>
      </c>
      <c r="E4" s="202">
        <v>2399</v>
      </c>
      <c r="F4" s="202">
        <v>2241</v>
      </c>
      <c r="G4" s="202">
        <v>2333</v>
      </c>
      <c r="H4" s="202">
        <v>1418</v>
      </c>
      <c r="I4" s="202">
        <v>2314</v>
      </c>
      <c r="J4" s="202">
        <v>2050</v>
      </c>
      <c r="K4" s="202">
        <v>2090</v>
      </c>
      <c r="L4" s="239">
        <v>2146</v>
      </c>
    </row>
    <row r="5" spans="2:12" ht="15.75">
      <c r="B5" s="209" t="s">
        <v>37</v>
      </c>
      <c r="C5" s="207">
        <v>1809</v>
      </c>
      <c r="D5" s="23">
        <v>1594</v>
      </c>
      <c r="E5" s="23">
        <v>2287</v>
      </c>
      <c r="F5" s="23">
        <v>2053</v>
      </c>
      <c r="G5" s="23">
        <v>2061</v>
      </c>
      <c r="H5" s="23">
        <v>1266</v>
      </c>
      <c r="I5" s="23">
        <v>2128</v>
      </c>
      <c r="J5" s="23">
        <v>1957</v>
      </c>
      <c r="K5" s="23">
        <v>2063</v>
      </c>
      <c r="L5" s="239">
        <v>1926</v>
      </c>
    </row>
    <row r="6" spans="2:12" ht="15.75">
      <c r="B6" s="209" t="s">
        <v>38</v>
      </c>
      <c r="C6" s="207">
        <v>1740</v>
      </c>
      <c r="D6" s="23">
        <v>1763</v>
      </c>
      <c r="E6" s="23">
        <v>2327</v>
      </c>
      <c r="F6" s="23">
        <v>2123</v>
      </c>
      <c r="G6" s="23">
        <v>1476</v>
      </c>
      <c r="H6" s="23">
        <v>1547</v>
      </c>
      <c r="I6" s="23">
        <v>2452</v>
      </c>
      <c r="J6" s="23">
        <v>1776</v>
      </c>
      <c r="K6" s="23">
        <v>2106</v>
      </c>
      <c r="L6" s="239">
        <v>2148</v>
      </c>
    </row>
    <row r="7" spans="2:12" ht="15.75">
      <c r="B7" s="209" t="s">
        <v>39</v>
      </c>
      <c r="C7" s="207">
        <v>1678</v>
      </c>
      <c r="D7" s="23">
        <v>1688</v>
      </c>
      <c r="E7" s="23">
        <v>2096</v>
      </c>
      <c r="F7" s="23">
        <v>2020</v>
      </c>
      <c r="G7" s="23">
        <v>60</v>
      </c>
      <c r="H7" s="23">
        <v>1441</v>
      </c>
      <c r="I7" s="23">
        <v>2299</v>
      </c>
      <c r="J7" s="23">
        <v>1676</v>
      </c>
      <c r="K7" s="23">
        <v>2140</v>
      </c>
      <c r="L7" s="239">
        <v>1821</v>
      </c>
    </row>
    <row r="8" spans="2:12" ht="15.75">
      <c r="B8" s="209" t="s">
        <v>40</v>
      </c>
      <c r="C8" s="207">
        <v>1583</v>
      </c>
      <c r="D8" s="23">
        <v>1772</v>
      </c>
      <c r="E8" s="23">
        <v>2249</v>
      </c>
      <c r="F8" s="23">
        <v>2076</v>
      </c>
      <c r="G8" s="23">
        <v>123</v>
      </c>
      <c r="H8" s="23">
        <v>2005</v>
      </c>
      <c r="I8" s="23">
        <v>2424</v>
      </c>
      <c r="J8" s="23">
        <v>1812</v>
      </c>
      <c r="K8" s="23">
        <v>2227</v>
      </c>
      <c r="L8" s="239">
        <v>1765</v>
      </c>
    </row>
    <row r="9" spans="2:12" ht="15.75">
      <c r="B9" s="209" t="s">
        <v>41</v>
      </c>
      <c r="C9" s="207">
        <v>1721</v>
      </c>
      <c r="D9" s="23">
        <v>1822</v>
      </c>
      <c r="E9" s="23">
        <v>2153</v>
      </c>
      <c r="F9" s="23">
        <v>1938</v>
      </c>
      <c r="G9" s="23">
        <v>241</v>
      </c>
      <c r="H9" s="23">
        <v>1773</v>
      </c>
      <c r="I9" s="23">
        <v>2298</v>
      </c>
      <c r="J9" s="23">
        <v>1807</v>
      </c>
      <c r="K9" s="23">
        <v>2071</v>
      </c>
      <c r="L9" s="239">
        <v>1874</v>
      </c>
    </row>
    <row r="10" spans="2:12" ht="15.75">
      <c r="B10" s="209" t="s">
        <v>42</v>
      </c>
      <c r="C10" s="207">
        <v>1748</v>
      </c>
      <c r="D10" s="23">
        <v>1863</v>
      </c>
      <c r="E10" s="23">
        <v>2164</v>
      </c>
      <c r="F10" s="23">
        <v>2244</v>
      </c>
      <c r="G10" s="23">
        <v>292</v>
      </c>
      <c r="H10" s="23">
        <v>1894</v>
      </c>
      <c r="I10" s="23">
        <v>2307</v>
      </c>
      <c r="J10" s="23">
        <v>1836</v>
      </c>
      <c r="K10" s="23">
        <v>2278</v>
      </c>
      <c r="L10" s="239">
        <v>2010</v>
      </c>
    </row>
    <row r="11" spans="2:12" ht="15.75">
      <c r="B11" s="209" t="s">
        <v>43</v>
      </c>
      <c r="C11" s="207">
        <v>1919</v>
      </c>
      <c r="D11" s="23">
        <v>2036</v>
      </c>
      <c r="E11" s="23">
        <v>2719</v>
      </c>
      <c r="F11" s="23">
        <v>2475</v>
      </c>
      <c r="G11" s="23">
        <v>335</v>
      </c>
      <c r="H11" s="23">
        <v>1898</v>
      </c>
      <c r="I11" s="23">
        <v>2374</v>
      </c>
      <c r="J11" s="23">
        <v>1974</v>
      </c>
      <c r="K11" s="23">
        <v>2364</v>
      </c>
      <c r="L11" s="331">
        <v>2115</v>
      </c>
    </row>
    <row r="12" spans="2:12" ht="15.75">
      <c r="B12" s="209" t="s">
        <v>44</v>
      </c>
      <c r="C12" s="207">
        <v>1857</v>
      </c>
      <c r="D12" s="23">
        <v>1414</v>
      </c>
      <c r="E12" s="23">
        <v>2257</v>
      </c>
      <c r="F12" s="23">
        <v>2049</v>
      </c>
      <c r="G12" s="23">
        <v>777</v>
      </c>
      <c r="H12" s="23">
        <v>1854</v>
      </c>
      <c r="I12" s="23">
        <v>2235</v>
      </c>
      <c r="J12" s="23">
        <v>1882</v>
      </c>
      <c r="K12" s="23">
        <v>2078</v>
      </c>
      <c r="L12" s="331">
        <v>2012</v>
      </c>
    </row>
    <row r="13" spans="2:12" ht="15.75">
      <c r="B13" s="209" t="s">
        <v>45</v>
      </c>
      <c r="C13" s="207">
        <v>1920</v>
      </c>
      <c r="D13" s="23">
        <v>1541</v>
      </c>
      <c r="E13" s="23">
        <v>2298</v>
      </c>
      <c r="F13" s="23">
        <v>2382</v>
      </c>
      <c r="G13" s="23">
        <v>956</v>
      </c>
      <c r="H13" s="23">
        <v>1988</v>
      </c>
      <c r="I13" s="23">
        <v>2193</v>
      </c>
      <c r="J13" s="23">
        <v>2064</v>
      </c>
      <c r="K13" s="23">
        <v>2148</v>
      </c>
      <c r="L13" s="331">
        <v>2162</v>
      </c>
    </row>
    <row r="14" spans="2:12" ht="15.75">
      <c r="B14" s="209" t="s">
        <v>46</v>
      </c>
      <c r="C14" s="207">
        <v>1737</v>
      </c>
      <c r="D14" s="23">
        <v>2158</v>
      </c>
      <c r="E14" s="23">
        <v>2294</v>
      </c>
      <c r="F14" s="23">
        <v>2186</v>
      </c>
      <c r="G14" s="23">
        <v>978</v>
      </c>
      <c r="H14" s="23">
        <v>2092</v>
      </c>
      <c r="I14" s="23">
        <v>2084</v>
      </c>
      <c r="J14" s="23">
        <v>2608</v>
      </c>
      <c r="K14" s="23">
        <v>2072</v>
      </c>
      <c r="L14" s="331">
        <v>2222</v>
      </c>
    </row>
    <row r="15" spans="2:12" ht="16.5" thickBot="1">
      <c r="B15" s="210" t="s">
        <v>47</v>
      </c>
      <c r="C15" s="211">
        <v>1873</v>
      </c>
      <c r="D15" s="212">
        <v>2431</v>
      </c>
      <c r="E15" s="212">
        <v>2450</v>
      </c>
      <c r="F15" s="212">
        <v>2342</v>
      </c>
      <c r="G15" s="212">
        <v>1308</v>
      </c>
      <c r="H15" s="212">
        <v>2284</v>
      </c>
      <c r="I15" s="212">
        <v>2074</v>
      </c>
      <c r="J15" s="212">
        <v>2413</v>
      </c>
      <c r="K15" s="212">
        <v>2153</v>
      </c>
      <c r="L15" s="332"/>
    </row>
    <row r="16" spans="2:12" ht="16.5" thickBot="1">
      <c r="B16" s="213" t="s">
        <v>6</v>
      </c>
      <c r="C16" s="214">
        <f>SUM(C4:C15)</f>
        <v>21312</v>
      </c>
      <c r="D16" s="215">
        <f t="shared" ref="D16:K16" si="0">SUM(D4:D15)</f>
        <v>21900</v>
      </c>
      <c r="E16" s="215">
        <f t="shared" si="0"/>
        <v>27693</v>
      </c>
      <c r="F16" s="215">
        <f t="shared" si="0"/>
        <v>26129</v>
      </c>
      <c r="G16" s="215">
        <f t="shared" si="0"/>
        <v>10940</v>
      </c>
      <c r="H16" s="215">
        <f t="shared" si="0"/>
        <v>21460</v>
      </c>
      <c r="I16" s="215">
        <f t="shared" si="0"/>
        <v>27182</v>
      </c>
      <c r="J16" s="215">
        <f t="shared" si="0"/>
        <v>23855</v>
      </c>
      <c r="K16" s="215">
        <f t="shared" si="0"/>
        <v>25790</v>
      </c>
      <c r="L16" s="240">
        <f>SUM(L4:L15)</f>
        <v>22201</v>
      </c>
    </row>
    <row r="19" spans="2:11" ht="15.75">
      <c r="J19" s="188"/>
      <c r="K19" s="188"/>
    </row>
    <row r="20" spans="2:11" ht="15.75">
      <c r="J20" s="188"/>
      <c r="K20" s="188"/>
    </row>
    <row r="21" spans="2:11" ht="15.75">
      <c r="J21" s="188"/>
      <c r="K21" s="188"/>
    </row>
    <row r="22" spans="2:11" ht="15.75">
      <c r="J22" s="188"/>
      <c r="K22" s="188"/>
    </row>
    <row r="23" spans="2:11" ht="15.75">
      <c r="J23" s="188"/>
      <c r="K23" s="188"/>
    </row>
    <row r="24" spans="2:11" ht="15.75">
      <c r="J24" s="188"/>
      <c r="K24" s="188"/>
    </row>
    <row r="25" spans="2:11" ht="15.75">
      <c r="J25" s="188"/>
      <c r="K25" s="188"/>
    </row>
    <row r="26" spans="2:11" ht="15.75">
      <c r="J26" s="188"/>
      <c r="K26" s="188"/>
    </row>
    <row r="27" spans="2:11" ht="15.75">
      <c r="J27" s="188"/>
      <c r="K27" s="188"/>
    </row>
    <row r="28" spans="2:11" ht="15.75">
      <c r="J28" s="188"/>
    </row>
    <row r="29" spans="2:11" ht="15.75">
      <c r="J29" s="188"/>
    </row>
    <row r="30" spans="2:11" ht="15.75">
      <c r="J30" s="188"/>
    </row>
    <row r="31" spans="2:11" ht="15.75" thickBot="1"/>
    <row r="32" spans="2:11" ht="26.25" customHeight="1" thickBot="1">
      <c r="B32" s="415" t="s">
        <v>173</v>
      </c>
      <c r="C32" s="416"/>
      <c r="D32" s="416"/>
      <c r="E32" s="416"/>
      <c r="F32" s="416"/>
      <c r="G32" s="416"/>
      <c r="H32" s="416"/>
      <c r="I32" s="416"/>
      <c r="J32" s="416"/>
      <c r="K32" s="417"/>
    </row>
    <row r="33" spans="2:16" ht="18" customHeight="1">
      <c r="B33" s="418" t="s">
        <v>48</v>
      </c>
      <c r="C33" s="420">
        <v>2024</v>
      </c>
      <c r="D33" s="421"/>
      <c r="E33" s="421"/>
      <c r="F33" s="422" t="s">
        <v>6</v>
      </c>
      <c r="G33" s="420">
        <v>2025</v>
      </c>
      <c r="H33" s="421"/>
      <c r="I33" s="421"/>
      <c r="J33" s="422" t="s">
        <v>6</v>
      </c>
      <c r="K33" s="424" t="s">
        <v>108</v>
      </c>
    </row>
    <row r="34" spans="2:16" ht="24.75" thickBot="1">
      <c r="B34" s="419"/>
      <c r="C34" s="24" t="s">
        <v>49</v>
      </c>
      <c r="D34" s="25" t="s">
        <v>50</v>
      </c>
      <c r="E34" s="25" t="s">
        <v>51</v>
      </c>
      <c r="F34" s="423"/>
      <c r="G34" s="24" t="s">
        <v>49</v>
      </c>
      <c r="H34" s="25" t="s">
        <v>50</v>
      </c>
      <c r="I34" s="25" t="s">
        <v>51</v>
      </c>
      <c r="J34" s="423"/>
      <c r="K34" s="425"/>
    </row>
    <row r="35" spans="2:16">
      <c r="B35" s="134" t="s">
        <v>36</v>
      </c>
      <c r="C35" s="135">
        <v>34</v>
      </c>
      <c r="D35" s="136">
        <v>1792</v>
      </c>
      <c r="E35" s="136">
        <v>264</v>
      </c>
      <c r="F35" s="137">
        <f>SUM(C35:E35)</f>
        <v>2090</v>
      </c>
      <c r="G35" s="135">
        <v>30</v>
      </c>
      <c r="H35" s="136">
        <v>1814</v>
      </c>
      <c r="I35" s="136">
        <v>302</v>
      </c>
      <c r="J35" s="137">
        <f>SUM(G35:I35)</f>
        <v>2146</v>
      </c>
      <c r="K35" s="138">
        <f t="shared" ref="K35:K46" si="1">(J35/F35)-1</f>
        <v>2.6794258373205704E-2</v>
      </c>
    </row>
    <row r="36" spans="2:16">
      <c r="B36" s="134" t="s">
        <v>37</v>
      </c>
      <c r="C36" s="135">
        <v>42</v>
      </c>
      <c r="D36" s="136">
        <v>1669</v>
      </c>
      <c r="E36" s="136">
        <v>352</v>
      </c>
      <c r="F36" s="137">
        <v>2063</v>
      </c>
      <c r="G36" s="135">
        <v>24</v>
      </c>
      <c r="H36" s="136">
        <v>1549</v>
      </c>
      <c r="I36" s="136">
        <v>353</v>
      </c>
      <c r="J36" s="137">
        <f>SUM(G36:I36)</f>
        <v>1926</v>
      </c>
      <c r="K36" s="246">
        <f t="shared" si="1"/>
        <v>-6.6408143480368387E-2</v>
      </c>
    </row>
    <row r="37" spans="2:16">
      <c r="B37" s="134" t="s">
        <v>38</v>
      </c>
      <c r="C37" s="135">
        <v>26</v>
      </c>
      <c r="D37" s="136">
        <v>1757</v>
      </c>
      <c r="E37" s="136">
        <v>323</v>
      </c>
      <c r="F37" s="137">
        <v>2106</v>
      </c>
      <c r="G37" s="135">
        <v>34</v>
      </c>
      <c r="H37" s="136">
        <v>1727</v>
      </c>
      <c r="I37" s="136">
        <v>387</v>
      </c>
      <c r="J37" s="137">
        <f>SUM(G37:I37)</f>
        <v>2148</v>
      </c>
      <c r="K37" s="138">
        <f t="shared" si="1"/>
        <v>1.9943019943019946E-2</v>
      </c>
    </row>
    <row r="38" spans="2:16" ht="15" customHeight="1">
      <c r="B38" s="56" t="s">
        <v>39</v>
      </c>
      <c r="C38" s="136">
        <v>28</v>
      </c>
      <c r="D38" s="136">
        <v>1830</v>
      </c>
      <c r="E38" s="136">
        <v>282</v>
      </c>
      <c r="F38" s="137">
        <v>2140</v>
      </c>
      <c r="G38" s="136">
        <v>38</v>
      </c>
      <c r="H38" s="136">
        <v>1484</v>
      </c>
      <c r="I38" s="136">
        <v>299</v>
      </c>
      <c r="J38" s="137">
        <v>1821</v>
      </c>
      <c r="K38" s="246">
        <f t="shared" si="1"/>
        <v>-0.14906542056074767</v>
      </c>
    </row>
    <row r="39" spans="2:16">
      <c r="B39" s="60" t="s">
        <v>40</v>
      </c>
      <c r="C39" s="136">
        <v>54</v>
      </c>
      <c r="D39" s="136">
        <v>1941</v>
      </c>
      <c r="E39" s="136">
        <v>232</v>
      </c>
      <c r="F39" s="137">
        <v>2227</v>
      </c>
      <c r="G39" s="136">
        <v>20</v>
      </c>
      <c r="H39" s="136">
        <v>1410</v>
      </c>
      <c r="I39" s="136">
        <v>335</v>
      </c>
      <c r="J39" s="137">
        <v>1765</v>
      </c>
      <c r="K39" s="246">
        <f t="shared" si="1"/>
        <v>-0.20745397395599463</v>
      </c>
    </row>
    <row r="40" spans="2:16">
      <c r="B40" s="60" t="s">
        <v>41</v>
      </c>
      <c r="C40" s="136">
        <v>28</v>
      </c>
      <c r="D40" s="136">
        <v>1828</v>
      </c>
      <c r="E40" s="136">
        <v>215</v>
      </c>
      <c r="F40" s="137">
        <v>2071</v>
      </c>
      <c r="G40" s="136">
        <v>28</v>
      </c>
      <c r="H40" s="136">
        <v>1542</v>
      </c>
      <c r="I40" s="136">
        <v>304</v>
      </c>
      <c r="J40" s="137">
        <v>1874</v>
      </c>
      <c r="K40" s="246">
        <f t="shared" si="1"/>
        <v>-9.5123128923225497E-2</v>
      </c>
    </row>
    <row r="41" spans="2:16">
      <c r="B41" s="60" t="s">
        <v>42</v>
      </c>
      <c r="C41" s="333">
        <v>14</v>
      </c>
      <c r="D41" s="333">
        <v>1955</v>
      </c>
      <c r="E41" s="333">
        <v>327</v>
      </c>
      <c r="F41" s="334">
        <v>2278</v>
      </c>
      <c r="G41" s="333">
        <v>42</v>
      </c>
      <c r="H41" s="333">
        <v>1595</v>
      </c>
      <c r="I41" s="333">
        <v>367</v>
      </c>
      <c r="J41" s="334">
        <v>2004</v>
      </c>
      <c r="K41" s="335">
        <f t="shared" si="1"/>
        <v>-0.12028094820017554</v>
      </c>
    </row>
    <row r="42" spans="2:16">
      <c r="B42" s="60" t="s">
        <v>43</v>
      </c>
      <c r="C42" s="136">
        <v>78</v>
      </c>
      <c r="D42" s="136">
        <v>1991</v>
      </c>
      <c r="E42" s="136">
        <v>300</v>
      </c>
      <c r="F42" s="137">
        <v>2364</v>
      </c>
      <c r="G42" s="136">
        <v>84</v>
      </c>
      <c r="H42" s="136">
        <v>1612</v>
      </c>
      <c r="I42" s="136">
        <v>419</v>
      </c>
      <c r="J42" s="137">
        <f>G42+H42+I42</f>
        <v>2115</v>
      </c>
      <c r="K42" s="335">
        <f t="shared" si="1"/>
        <v>-0.10532994923857864</v>
      </c>
    </row>
    <row r="43" spans="2:16">
      <c r="B43" s="60" t="s">
        <v>44</v>
      </c>
      <c r="C43" s="136">
        <v>62</v>
      </c>
      <c r="D43" s="136">
        <v>1789</v>
      </c>
      <c r="E43" s="136">
        <v>227</v>
      </c>
      <c r="F43" s="137">
        <v>2078</v>
      </c>
      <c r="G43" s="136">
        <v>46</v>
      </c>
      <c r="H43" s="136">
        <v>1579</v>
      </c>
      <c r="I43" s="136">
        <v>387</v>
      </c>
      <c r="J43" s="137">
        <f>G43+H43+I43</f>
        <v>2012</v>
      </c>
      <c r="K43" s="335">
        <f t="shared" si="1"/>
        <v>-3.1761308950914335E-2</v>
      </c>
    </row>
    <row r="44" spans="2:16">
      <c r="B44" s="60" t="s">
        <v>45</v>
      </c>
      <c r="C44" s="136">
        <v>48</v>
      </c>
      <c r="D44" s="136">
        <v>1740</v>
      </c>
      <c r="E44" s="136">
        <v>360</v>
      </c>
      <c r="F44" s="137">
        <v>2148</v>
      </c>
      <c r="G44" s="136">
        <v>36</v>
      </c>
      <c r="H44" s="136">
        <v>1709</v>
      </c>
      <c r="I44" s="136">
        <v>417</v>
      </c>
      <c r="J44" s="137">
        <f>G44+H44+I44</f>
        <v>2162</v>
      </c>
      <c r="K44" s="335">
        <f>(J44/F44)-1</f>
        <v>6.5176908752326845E-3</v>
      </c>
    </row>
    <row r="45" spans="2:16">
      <c r="B45" s="60" t="s">
        <v>46</v>
      </c>
      <c r="C45" s="136">
        <v>24</v>
      </c>
      <c r="D45" s="136">
        <v>1714</v>
      </c>
      <c r="E45" s="136">
        <v>334</v>
      </c>
      <c r="F45" s="137">
        <v>2072</v>
      </c>
      <c r="G45" s="136">
        <v>30</v>
      </c>
      <c r="H45" s="136">
        <v>1813</v>
      </c>
      <c r="I45" s="136">
        <v>379</v>
      </c>
      <c r="J45" s="137">
        <f>G45+H45+I45</f>
        <v>2222</v>
      </c>
      <c r="K45" s="335">
        <f>(J45/F45)-1</f>
        <v>7.2393822393822305E-2</v>
      </c>
    </row>
    <row r="46" spans="2:16" ht="15.75" thickBot="1">
      <c r="B46" s="60" t="s">
        <v>47</v>
      </c>
      <c r="C46" s="136">
        <v>76</v>
      </c>
      <c r="D46" s="136">
        <v>1823</v>
      </c>
      <c r="E46" s="136">
        <v>254</v>
      </c>
      <c r="F46" s="137">
        <v>2153</v>
      </c>
      <c r="G46" s="136"/>
      <c r="H46" s="136"/>
      <c r="I46" s="136"/>
      <c r="J46" s="137"/>
      <c r="K46" s="227">
        <f t="shared" si="1"/>
        <v>-1</v>
      </c>
    </row>
    <row r="47" spans="2:16" ht="21" thickBot="1">
      <c r="B47" s="140" t="s">
        <v>6</v>
      </c>
      <c r="C47" s="141">
        <f t="shared" ref="C47:J47" si="2">SUM(C35:C46)</f>
        <v>514</v>
      </c>
      <c r="D47" s="142">
        <f t="shared" si="2"/>
        <v>21829</v>
      </c>
      <c r="E47" s="142">
        <f t="shared" si="2"/>
        <v>3470</v>
      </c>
      <c r="F47" s="143">
        <f t="shared" si="2"/>
        <v>25790</v>
      </c>
      <c r="G47" s="141">
        <f t="shared" si="2"/>
        <v>412</v>
      </c>
      <c r="H47" s="141">
        <f t="shared" si="2"/>
        <v>17834</v>
      </c>
      <c r="I47" s="141">
        <f t="shared" si="2"/>
        <v>3949</v>
      </c>
      <c r="J47" s="141">
        <f t="shared" si="2"/>
        <v>22195</v>
      </c>
      <c r="K47" s="268">
        <f>(J47/(F35+F36+F37+F38+F39+F40+F41))-1</f>
        <v>0.48213689482470778</v>
      </c>
      <c r="M47" s="62"/>
      <c r="N47" s="92"/>
      <c r="O47" s="62"/>
      <c r="P47" s="92"/>
    </row>
    <row r="48" spans="2:16" ht="15.75" thickBot="1"/>
    <row r="49" spans="2:12">
      <c r="B49" s="79"/>
      <c r="C49" s="411">
        <v>2024</v>
      </c>
      <c r="D49" s="412"/>
      <c r="E49" s="412"/>
      <c r="F49" s="414"/>
      <c r="G49" s="411">
        <v>2025</v>
      </c>
      <c r="H49" s="412"/>
      <c r="I49" s="412"/>
      <c r="J49" s="412"/>
      <c r="K49" s="413"/>
    </row>
    <row r="50" spans="2:12" ht="52.5" customHeight="1">
      <c r="B50" s="80"/>
      <c r="C50" s="51" t="s">
        <v>49</v>
      </c>
      <c r="D50" s="51" t="s">
        <v>50</v>
      </c>
      <c r="E50" s="51" t="s">
        <v>51</v>
      </c>
      <c r="F50" s="52" t="s">
        <v>6</v>
      </c>
      <c r="G50" s="51" t="s">
        <v>49</v>
      </c>
      <c r="H50" s="51" t="s">
        <v>50</v>
      </c>
      <c r="I50" s="51" t="s">
        <v>51</v>
      </c>
      <c r="J50" s="53" t="s">
        <v>6</v>
      </c>
      <c r="K50" s="144" t="s">
        <v>108</v>
      </c>
    </row>
    <row r="51" spans="2:12" ht="27.75" customHeight="1">
      <c r="B51" s="228" t="s">
        <v>46</v>
      </c>
      <c r="C51" s="139">
        <v>48</v>
      </c>
      <c r="D51" s="139">
        <v>1740</v>
      </c>
      <c r="E51" s="139">
        <v>360</v>
      </c>
      <c r="F51" s="229">
        <f>C51+D51+E51</f>
        <v>2148</v>
      </c>
      <c r="G51" s="139">
        <v>30</v>
      </c>
      <c r="H51" s="139">
        <v>1813</v>
      </c>
      <c r="I51" s="139">
        <v>379</v>
      </c>
      <c r="J51" s="229">
        <f>G51+H51+I51</f>
        <v>2222</v>
      </c>
      <c r="K51" s="269">
        <f>+K44</f>
        <v>6.5176908752326845E-3</v>
      </c>
    </row>
    <row r="52" spans="2:12" ht="18">
      <c r="B52" s="57"/>
      <c r="C52" s="58"/>
      <c r="D52" s="58"/>
      <c r="E52" s="58"/>
      <c r="F52" s="58"/>
      <c r="G52" s="58"/>
      <c r="H52" s="58"/>
      <c r="I52" s="58"/>
      <c r="J52" s="58"/>
      <c r="K52" s="59"/>
    </row>
    <row r="53" spans="2:12" ht="18">
      <c r="B53" s="57"/>
      <c r="C53" s="58"/>
      <c r="D53" s="58"/>
      <c r="E53" s="58"/>
      <c r="F53" s="58"/>
      <c r="G53" s="58"/>
      <c r="H53" s="58"/>
      <c r="I53" s="58"/>
      <c r="J53" s="58"/>
      <c r="K53" s="59"/>
    </row>
    <row r="54" spans="2:12" ht="18">
      <c r="B54" s="57"/>
      <c r="C54" s="58"/>
      <c r="D54" s="58"/>
      <c r="E54" s="58"/>
      <c r="F54" s="58"/>
      <c r="G54" s="58"/>
      <c r="H54" s="58"/>
      <c r="I54" s="58"/>
      <c r="J54" s="58"/>
      <c r="K54" s="59"/>
    </row>
    <row r="55" spans="2:12" ht="18">
      <c r="B55" s="57"/>
      <c r="C55" s="58"/>
      <c r="D55" s="58"/>
      <c r="E55" s="58"/>
      <c r="F55" s="58"/>
      <c r="G55" s="58"/>
      <c r="H55" s="58"/>
      <c r="I55" s="58"/>
      <c r="J55" s="58"/>
      <c r="K55" s="59"/>
    </row>
    <row r="56" spans="2:12" ht="18">
      <c r="B56" s="57"/>
      <c r="C56" s="58"/>
      <c r="D56" s="58"/>
      <c r="E56" s="58"/>
      <c r="F56" s="58"/>
      <c r="G56" s="58"/>
      <c r="H56" s="58"/>
      <c r="I56" s="58"/>
      <c r="J56" s="58"/>
      <c r="K56" s="59"/>
    </row>
    <row r="57" spans="2:12">
      <c r="K57" s="267"/>
    </row>
    <row r="59" spans="2:12" ht="15.75" thickBot="1"/>
    <row r="60" spans="2:12" ht="30.75" customHeight="1" thickBot="1">
      <c r="B60" s="432" t="s">
        <v>174</v>
      </c>
      <c r="C60" s="433"/>
      <c r="D60" s="433"/>
      <c r="E60" s="433"/>
      <c r="F60" s="433"/>
      <c r="G60" s="433"/>
      <c r="H60" s="434"/>
      <c r="I60" s="216"/>
      <c r="J60" s="216"/>
      <c r="K60" s="216"/>
    </row>
    <row r="61" spans="2:12" ht="33.75" customHeight="1" thickBot="1">
      <c r="B61" s="176" t="s">
        <v>52</v>
      </c>
      <c r="C61" s="177" t="s">
        <v>4</v>
      </c>
      <c r="D61" s="177" t="s">
        <v>3</v>
      </c>
      <c r="E61" s="177" t="s">
        <v>101</v>
      </c>
      <c r="F61" s="177" t="s">
        <v>97</v>
      </c>
      <c r="G61" s="177" t="s">
        <v>5</v>
      </c>
      <c r="H61" s="178" t="s">
        <v>6</v>
      </c>
      <c r="J61" s="179"/>
    </row>
    <row r="62" spans="2:12" ht="30.75" customHeight="1">
      <c r="B62" s="176" t="s">
        <v>54</v>
      </c>
      <c r="C62" s="82">
        <f>C63+C64+C65+C66</f>
        <v>457</v>
      </c>
      <c r="D62" s="82">
        <f t="shared" ref="D62:G62" si="3">D63+D64+D65+D66</f>
        <v>189</v>
      </c>
      <c r="E62" s="82">
        <f t="shared" si="3"/>
        <v>98</v>
      </c>
      <c r="F62" s="82">
        <f t="shared" si="3"/>
        <v>112</v>
      </c>
      <c r="G62" s="82">
        <f t="shared" si="3"/>
        <v>69</v>
      </c>
      <c r="H62" s="175">
        <f>SUM(C62:G62)</f>
        <v>925</v>
      </c>
      <c r="J62" s="217"/>
    </row>
    <row r="63" spans="2:12" ht="55.5" customHeight="1">
      <c r="B63" s="85" t="s">
        <v>55</v>
      </c>
      <c r="C63" s="84">
        <v>183</v>
      </c>
      <c r="D63" s="84">
        <v>65</v>
      </c>
      <c r="E63" s="84">
        <v>23</v>
      </c>
      <c r="F63" s="84">
        <v>34</v>
      </c>
      <c r="G63" s="84">
        <v>33</v>
      </c>
      <c r="H63" s="175">
        <f>SUM(C63:G63)</f>
        <v>338</v>
      </c>
      <c r="J63" s="180"/>
      <c r="L63" s="172"/>
    </row>
    <row r="64" spans="2:12" ht="51.75" customHeight="1">
      <c r="B64" s="85" t="s">
        <v>56</v>
      </c>
      <c r="C64" s="84">
        <v>162</v>
      </c>
      <c r="D64" s="84">
        <v>78</v>
      </c>
      <c r="E64" s="84">
        <v>34</v>
      </c>
      <c r="F64" s="84">
        <v>39</v>
      </c>
      <c r="G64" s="84">
        <v>34</v>
      </c>
      <c r="H64" s="175">
        <f>SUM(C64:G64)</f>
        <v>347</v>
      </c>
      <c r="J64" s="180"/>
      <c r="L64" s="172"/>
    </row>
    <row r="65" spans="2:12" ht="48.75" customHeight="1">
      <c r="B65" s="85" t="s">
        <v>57</v>
      </c>
      <c r="C65" s="84">
        <v>72</v>
      </c>
      <c r="D65" s="84">
        <v>30</v>
      </c>
      <c r="E65" s="84">
        <v>23</v>
      </c>
      <c r="F65" s="84">
        <v>22</v>
      </c>
      <c r="G65" s="84">
        <v>1</v>
      </c>
      <c r="H65" s="175">
        <f>SUM(C65:G65)</f>
        <v>148</v>
      </c>
      <c r="J65" s="180"/>
      <c r="L65" s="172"/>
    </row>
    <row r="66" spans="2:12" ht="42.75" customHeight="1" thickBot="1">
      <c r="B66" s="233" t="s">
        <v>58</v>
      </c>
      <c r="C66" s="234">
        <v>40</v>
      </c>
      <c r="D66" s="234">
        <v>16</v>
      </c>
      <c r="E66" s="234">
        <v>18</v>
      </c>
      <c r="F66" s="234">
        <v>17</v>
      </c>
      <c r="G66" s="234">
        <v>1</v>
      </c>
      <c r="H66" s="175">
        <f>SUM(C66:G66)</f>
        <v>92</v>
      </c>
      <c r="J66" s="180"/>
      <c r="L66" s="172"/>
    </row>
    <row r="67" spans="2:12" ht="45.75" customHeight="1" thickBot="1">
      <c r="B67" s="237" t="s">
        <v>59</v>
      </c>
      <c r="C67" s="235">
        <f>(C62/H62)</f>
        <v>0.49405405405405406</v>
      </c>
      <c r="D67" s="235">
        <f>+D62/H62</f>
        <v>0.20432432432432432</v>
      </c>
      <c r="E67" s="235">
        <f>+E62/H62</f>
        <v>0.10594594594594595</v>
      </c>
      <c r="F67" s="235">
        <f>+F62/H62</f>
        <v>0.12108108108108108</v>
      </c>
      <c r="G67" s="235">
        <f>+G62/H62</f>
        <v>7.4594594594594596E-2</v>
      </c>
      <c r="H67" s="236">
        <v>0</v>
      </c>
      <c r="J67" s="181"/>
      <c r="L67" s="172"/>
    </row>
    <row r="68" spans="2:12" ht="15.75" thickBot="1">
      <c r="C68" s="183"/>
      <c r="D68" s="184"/>
      <c r="E68" s="184"/>
      <c r="F68" s="184"/>
      <c r="G68" s="184"/>
      <c r="H68" s="185"/>
      <c r="I68" s="182"/>
      <c r="J68" s="182"/>
    </row>
    <row r="69" spans="2:12" ht="24" customHeight="1" thickBot="1">
      <c r="B69" s="435" t="s">
        <v>176</v>
      </c>
      <c r="C69" s="436"/>
      <c r="D69" s="436"/>
      <c r="E69" s="436"/>
      <c r="F69" s="436"/>
      <c r="G69" s="436"/>
      <c r="H69" s="437"/>
      <c r="I69" s="182"/>
      <c r="J69" s="182"/>
      <c r="K69" s="45"/>
    </row>
    <row r="70" spans="2:12" ht="30" customHeight="1" thickBot="1">
      <c r="B70" s="176" t="s">
        <v>52</v>
      </c>
      <c r="C70" s="177" t="s">
        <v>4</v>
      </c>
      <c r="D70" s="177" t="s">
        <v>3</v>
      </c>
      <c r="E70" s="177" t="s">
        <v>101</v>
      </c>
      <c r="F70" s="177" t="s">
        <v>97</v>
      </c>
      <c r="G70" s="177" t="s">
        <v>5</v>
      </c>
      <c r="H70" s="196" t="s">
        <v>6</v>
      </c>
      <c r="J70" s="179"/>
    </row>
    <row r="71" spans="2:12" ht="18.75" thickBot="1">
      <c r="B71" s="247" t="s">
        <v>54</v>
      </c>
      <c r="C71" s="82">
        <f>+C62</f>
        <v>457</v>
      </c>
      <c r="D71" s="82">
        <f>+D62</f>
        <v>189</v>
      </c>
      <c r="E71" s="82">
        <f>+E62</f>
        <v>98</v>
      </c>
      <c r="F71" s="82">
        <f>+F62</f>
        <v>112</v>
      </c>
      <c r="G71" s="82">
        <f>+G62</f>
        <v>69</v>
      </c>
      <c r="H71" s="187">
        <f>SUM(C71:G71)</f>
        <v>925</v>
      </c>
      <c r="J71" s="180"/>
    </row>
    <row r="73" spans="2:12" ht="15.75" thickBot="1"/>
    <row r="74" spans="2:12" ht="35.25" customHeight="1" thickBot="1">
      <c r="B74" s="429" t="s">
        <v>175</v>
      </c>
      <c r="C74" s="430"/>
      <c r="D74" s="430"/>
      <c r="E74" s="430"/>
      <c r="F74" s="430"/>
      <c r="G74" s="430"/>
      <c r="H74" s="430"/>
      <c r="I74" s="430"/>
      <c r="J74" s="431"/>
      <c r="K74" s="248"/>
    </row>
    <row r="75" spans="2:12" ht="35.25" customHeight="1">
      <c r="B75" s="230" t="s">
        <v>52</v>
      </c>
      <c r="C75" s="26" t="s">
        <v>4</v>
      </c>
      <c r="D75" s="26" t="s">
        <v>137</v>
      </c>
      <c r="E75" s="26" t="s">
        <v>101</v>
      </c>
      <c r="F75" s="26" t="s">
        <v>97</v>
      </c>
      <c r="G75" s="26" t="s">
        <v>5</v>
      </c>
      <c r="H75" s="26" t="s">
        <v>53</v>
      </c>
      <c r="I75" s="26" t="s">
        <v>98</v>
      </c>
      <c r="J75" s="231" t="s">
        <v>6</v>
      </c>
    </row>
    <row r="76" spans="2:12" ht="33" customHeight="1">
      <c r="B76" s="232" t="s">
        <v>54</v>
      </c>
      <c r="C76" s="82">
        <v>434</v>
      </c>
      <c r="D76" s="82">
        <v>159</v>
      </c>
      <c r="E76" s="82">
        <v>105</v>
      </c>
      <c r="F76" s="82">
        <v>77</v>
      </c>
      <c r="G76" s="82">
        <v>38</v>
      </c>
      <c r="H76" s="82">
        <v>0</v>
      </c>
      <c r="I76" s="82">
        <v>0</v>
      </c>
      <c r="J76" s="229">
        <f>SUM(C76:I76)</f>
        <v>813</v>
      </c>
    </row>
    <row r="77" spans="2:12" ht="65.25" customHeight="1">
      <c r="B77" s="85" t="s">
        <v>55</v>
      </c>
      <c r="C77" s="84">
        <v>76</v>
      </c>
      <c r="D77" s="84">
        <v>21</v>
      </c>
      <c r="E77" s="84">
        <v>32</v>
      </c>
      <c r="F77" s="84">
        <v>26</v>
      </c>
      <c r="G77" s="84">
        <v>24</v>
      </c>
      <c r="H77" s="84">
        <v>0</v>
      </c>
      <c r="I77" s="84">
        <v>0</v>
      </c>
      <c r="J77" s="229">
        <f>SUM(C77:I77)</f>
        <v>179</v>
      </c>
    </row>
    <row r="78" spans="2:12" ht="63.75" customHeight="1">
      <c r="B78" s="85" t="s">
        <v>56</v>
      </c>
      <c r="C78" s="84">
        <v>164</v>
      </c>
      <c r="D78" s="84">
        <v>69</v>
      </c>
      <c r="E78" s="84">
        <v>47</v>
      </c>
      <c r="F78" s="84">
        <v>19</v>
      </c>
      <c r="G78" s="84">
        <v>11</v>
      </c>
      <c r="H78" s="84">
        <v>0</v>
      </c>
      <c r="I78" s="84">
        <v>0</v>
      </c>
      <c r="J78" s="229">
        <f>SUM(C78:I78)</f>
        <v>310</v>
      </c>
    </row>
    <row r="79" spans="2:12" ht="72.75" customHeight="1">
      <c r="B79" s="85" t="s">
        <v>57</v>
      </c>
      <c r="C79" s="84">
        <v>110</v>
      </c>
      <c r="D79" s="84">
        <v>33</v>
      </c>
      <c r="E79" s="84">
        <v>12</v>
      </c>
      <c r="F79" s="84">
        <v>18</v>
      </c>
      <c r="G79" s="84" t="s">
        <v>95</v>
      </c>
      <c r="H79" s="84">
        <v>0</v>
      </c>
      <c r="I79" s="84">
        <v>0</v>
      </c>
      <c r="J79" s="83">
        <f>SUM(C79:I79)</f>
        <v>173</v>
      </c>
    </row>
    <row r="80" spans="2:12" ht="55.5" customHeight="1" thickBot="1">
      <c r="B80" s="233" t="s">
        <v>58</v>
      </c>
      <c r="C80" s="84">
        <v>84</v>
      </c>
      <c r="D80" s="84">
        <v>36</v>
      </c>
      <c r="E80" s="84">
        <v>14</v>
      </c>
      <c r="F80" s="84">
        <v>14</v>
      </c>
      <c r="G80" s="84">
        <v>3</v>
      </c>
      <c r="H80" s="84">
        <v>0</v>
      </c>
      <c r="I80" s="84">
        <v>0</v>
      </c>
      <c r="J80" s="83">
        <f>SUM(C80:I80)</f>
        <v>151</v>
      </c>
    </row>
    <row r="81" spans="2:10" ht="33.75" thickBot="1">
      <c r="B81" s="237" t="s">
        <v>59</v>
      </c>
      <c r="C81" s="235">
        <f>C76/J76</f>
        <v>0.53382533825338252</v>
      </c>
      <c r="D81" s="235">
        <f>D76/J76</f>
        <v>0.19557195571955718</v>
      </c>
      <c r="E81" s="235">
        <f>E76/J76</f>
        <v>0.12915129151291513</v>
      </c>
      <c r="F81" s="235">
        <f>F76/J76</f>
        <v>9.4710947109471089E-2</v>
      </c>
      <c r="G81" s="235">
        <f>G76/J76</f>
        <v>4.6740467404674045E-2</v>
      </c>
      <c r="H81" s="235">
        <f>H76/J76</f>
        <v>0</v>
      </c>
      <c r="I81" s="235">
        <f>I76/J76</f>
        <v>0</v>
      </c>
      <c r="J81" s="236"/>
    </row>
    <row r="83" spans="2:10" ht="15.75" thickBot="1"/>
    <row r="84" spans="2:10" ht="15.75" thickBot="1">
      <c r="B84" s="426" t="s">
        <v>175</v>
      </c>
      <c r="C84" s="427"/>
      <c r="D84" s="427"/>
      <c r="E84" s="427"/>
      <c r="F84" s="427"/>
      <c r="G84" s="427"/>
      <c r="H84" s="427"/>
      <c r="I84" s="427"/>
      <c r="J84" s="428"/>
    </row>
    <row r="85" spans="2:10" ht="15.75" thickBot="1">
      <c r="B85" s="176" t="s">
        <v>52</v>
      </c>
      <c r="C85" s="26" t="s">
        <v>4</v>
      </c>
      <c r="D85" s="26" t="s">
        <v>137</v>
      </c>
      <c r="E85" s="26" t="s">
        <v>101</v>
      </c>
      <c r="F85" s="26" t="s">
        <v>97</v>
      </c>
      <c r="G85" s="26" t="s">
        <v>5</v>
      </c>
      <c r="H85" s="26" t="s">
        <v>53</v>
      </c>
      <c r="I85" s="26" t="s">
        <v>98</v>
      </c>
      <c r="J85" s="196" t="s">
        <v>6</v>
      </c>
    </row>
    <row r="86" spans="2:10" ht="18.75" thickBot="1">
      <c r="B86" s="247" t="s">
        <v>54</v>
      </c>
      <c r="C86" s="186">
        <f t="shared" ref="C86:I86" si="4">+C76</f>
        <v>434</v>
      </c>
      <c r="D86" s="186">
        <f t="shared" si="4"/>
        <v>159</v>
      </c>
      <c r="E86" s="186">
        <f t="shared" si="4"/>
        <v>105</v>
      </c>
      <c r="F86" s="186">
        <f t="shared" si="4"/>
        <v>77</v>
      </c>
      <c r="G86" s="186">
        <f t="shared" si="4"/>
        <v>38</v>
      </c>
      <c r="H86" s="186">
        <f t="shared" si="4"/>
        <v>0</v>
      </c>
      <c r="I86" s="186">
        <f t="shared" si="4"/>
        <v>0</v>
      </c>
      <c r="J86" s="187">
        <f>SUM(C86:I86)</f>
        <v>813</v>
      </c>
    </row>
    <row r="88" spans="2:10" ht="36" customHeight="1" thickBot="1">
      <c r="C88" s="405" t="s">
        <v>36</v>
      </c>
      <c r="D88" s="406"/>
      <c r="E88" s="407"/>
      <c r="G88" s="145"/>
      <c r="H88" s="145"/>
      <c r="I88" s="145"/>
    </row>
    <row r="89" spans="2:10" ht="33" customHeight="1" thickBot="1">
      <c r="C89" s="94"/>
      <c r="D89" s="95">
        <v>2024</v>
      </c>
      <c r="E89" s="95">
        <v>2025</v>
      </c>
      <c r="G89" s="146"/>
      <c r="H89" s="145"/>
      <c r="I89" s="145"/>
    </row>
    <row r="90" spans="2:10" ht="31.5" customHeight="1" thickBot="1">
      <c r="C90" s="96" t="s">
        <v>6</v>
      </c>
      <c r="D90" s="97">
        <v>1792</v>
      </c>
      <c r="E90" s="97">
        <v>1814</v>
      </c>
      <c r="G90" s="147"/>
      <c r="H90" s="148"/>
      <c r="I90" s="148"/>
    </row>
    <row r="91" spans="2:10" ht="23.25" customHeight="1" thickBot="1">
      <c r="C91" s="98" t="s">
        <v>60</v>
      </c>
      <c r="D91" s="100">
        <f>(D90-D92)</f>
        <v>933</v>
      </c>
      <c r="E91" s="100">
        <f>E90-E92</f>
        <v>937</v>
      </c>
      <c r="G91" s="149">
        <f>(D91/D90)</f>
        <v>0.5206473214285714</v>
      </c>
      <c r="H91" s="149">
        <f>(E91/E90)</f>
        <v>0.51653803748621829</v>
      </c>
      <c r="I91" s="150"/>
    </row>
    <row r="92" spans="2:10" ht="23.25" customHeight="1" thickBot="1">
      <c r="C92" s="98" t="s">
        <v>61</v>
      </c>
      <c r="D92" s="99">
        <v>859</v>
      </c>
      <c r="E92" s="99">
        <v>877</v>
      </c>
      <c r="G92" s="149">
        <f>(D92/D90)</f>
        <v>0.47935267857142855</v>
      </c>
      <c r="H92" s="149">
        <f>(E92/E91)</f>
        <v>0.93596584845250796</v>
      </c>
      <c r="I92" s="150"/>
    </row>
    <row r="94" spans="2:10" ht="15.75" thickBot="1"/>
    <row r="95" spans="2:10" ht="43.5" customHeight="1" thickBot="1">
      <c r="C95" s="405" t="s">
        <v>37</v>
      </c>
      <c r="D95" s="406"/>
      <c r="E95" s="407"/>
    </row>
    <row r="96" spans="2:10" ht="30.75" customHeight="1" thickBot="1">
      <c r="C96" s="94"/>
      <c r="D96" s="95">
        <v>2024</v>
      </c>
      <c r="E96" s="95">
        <v>2025</v>
      </c>
    </row>
    <row r="97" spans="3:8" ht="21" thickBot="1">
      <c r="C97" s="96" t="s">
        <v>6</v>
      </c>
      <c r="D97" s="97">
        <v>1665</v>
      </c>
      <c r="E97" s="97">
        <v>1549</v>
      </c>
    </row>
    <row r="98" spans="3:8" ht="21" thickBot="1">
      <c r="C98" s="98" t="s">
        <v>60</v>
      </c>
      <c r="D98" s="100">
        <v>864</v>
      </c>
      <c r="E98" s="100">
        <v>786</v>
      </c>
      <c r="G98" s="242">
        <f>D98/D97</f>
        <v>0.51891891891891895</v>
      </c>
      <c r="H98" s="242">
        <f>E98/E97</f>
        <v>0.50742414460942542</v>
      </c>
    </row>
    <row r="99" spans="3:8" ht="21" thickBot="1">
      <c r="C99" s="98" t="s">
        <v>61</v>
      </c>
      <c r="D99" s="99">
        <v>801</v>
      </c>
      <c r="E99" s="99">
        <v>763</v>
      </c>
      <c r="G99" s="242">
        <f>D99/D97</f>
        <v>0.48108108108108111</v>
      </c>
      <c r="H99" s="242">
        <f>E99/E97</f>
        <v>0.49257585539057458</v>
      </c>
    </row>
    <row r="102" spans="3:8" ht="15.75" thickBot="1"/>
    <row r="103" spans="3:8" ht="38.25" customHeight="1" thickBot="1">
      <c r="C103" s="405" t="s">
        <v>38</v>
      </c>
      <c r="D103" s="406"/>
      <c r="E103" s="407"/>
    </row>
    <row r="104" spans="3:8" ht="21" thickBot="1">
      <c r="C104" s="94"/>
      <c r="D104" s="95">
        <v>2024</v>
      </c>
      <c r="E104" s="95">
        <v>2025</v>
      </c>
    </row>
    <row r="105" spans="3:8" ht="21" thickBot="1">
      <c r="C105" s="96" t="s">
        <v>6</v>
      </c>
      <c r="D105" s="97">
        <v>1757</v>
      </c>
      <c r="E105" s="97">
        <v>1727</v>
      </c>
    </row>
    <row r="106" spans="3:8" ht="21" thickBot="1">
      <c r="C106" s="98" t="s">
        <v>60</v>
      </c>
      <c r="D106" s="100">
        <v>916</v>
      </c>
      <c r="E106" s="100">
        <v>891</v>
      </c>
      <c r="G106" s="242">
        <f>D106/D105</f>
        <v>0.52134319863403533</v>
      </c>
      <c r="H106" s="242">
        <f>E106/E105</f>
        <v>0.51592356687898089</v>
      </c>
    </row>
    <row r="107" spans="3:8" ht="21" thickBot="1">
      <c r="C107" s="98" t="s">
        <v>61</v>
      </c>
      <c r="D107" s="99">
        <v>841</v>
      </c>
      <c r="E107" s="99">
        <v>836</v>
      </c>
      <c r="G107" s="242">
        <f>D107/D105</f>
        <v>0.47865680136596472</v>
      </c>
      <c r="H107" s="242">
        <f>E107/E105</f>
        <v>0.48407643312101911</v>
      </c>
    </row>
    <row r="110" spans="3:8" ht="15.75" thickBot="1"/>
    <row r="111" spans="3:8" ht="40.5" customHeight="1" thickBot="1">
      <c r="C111" s="405" t="s">
        <v>39</v>
      </c>
      <c r="D111" s="406"/>
      <c r="E111" s="407"/>
    </row>
    <row r="112" spans="3:8" ht="21" thickBot="1">
      <c r="C112" s="94"/>
      <c r="D112" s="95">
        <v>2024</v>
      </c>
      <c r="E112" s="95">
        <v>2025</v>
      </c>
    </row>
    <row r="113" spans="3:8" ht="21" thickBot="1">
      <c r="C113" s="96" t="s">
        <v>6</v>
      </c>
      <c r="D113" s="97">
        <v>1830</v>
      </c>
      <c r="E113" s="97">
        <v>1484</v>
      </c>
    </row>
    <row r="114" spans="3:8" ht="21" thickBot="1">
      <c r="C114" s="98" t="s">
        <v>60</v>
      </c>
      <c r="D114" s="100">
        <v>943</v>
      </c>
      <c r="E114" s="100">
        <v>775</v>
      </c>
      <c r="G114" s="242">
        <f>D114/D113</f>
        <v>0.51530054644808743</v>
      </c>
      <c r="H114" s="242">
        <f>E114/E113</f>
        <v>0.52223719676549862</v>
      </c>
    </row>
    <row r="115" spans="3:8" ht="21" thickBot="1">
      <c r="C115" s="98" t="s">
        <v>61</v>
      </c>
      <c r="D115" s="100">
        <v>887</v>
      </c>
      <c r="E115" s="100">
        <v>709</v>
      </c>
      <c r="G115" s="242">
        <f>D115/D113</f>
        <v>0.48469945355191257</v>
      </c>
      <c r="H115" s="242">
        <f>E115/E113</f>
        <v>0.47776280323450132</v>
      </c>
    </row>
    <row r="118" spans="3:8" ht="15.75" thickBot="1"/>
    <row r="119" spans="3:8" ht="38.25" customHeight="1" thickBot="1">
      <c r="C119" s="405" t="s">
        <v>40</v>
      </c>
      <c r="D119" s="406"/>
      <c r="E119" s="407"/>
    </row>
    <row r="120" spans="3:8" ht="30" customHeight="1" thickBot="1">
      <c r="C120" s="94"/>
      <c r="D120" s="95">
        <v>2024</v>
      </c>
      <c r="E120" s="95">
        <v>2025</v>
      </c>
    </row>
    <row r="121" spans="3:8" ht="28.5" customHeight="1" thickBot="1">
      <c r="C121" s="96" t="s">
        <v>6</v>
      </c>
      <c r="D121" s="97">
        <v>1941</v>
      </c>
      <c r="E121" s="97">
        <v>1410</v>
      </c>
    </row>
    <row r="122" spans="3:8" ht="28.5" customHeight="1" thickBot="1">
      <c r="C122" s="98" t="s">
        <v>60</v>
      </c>
      <c r="D122" s="100">
        <v>1284</v>
      </c>
      <c r="E122" s="100">
        <v>1103</v>
      </c>
      <c r="G122" s="242">
        <f>D122/D121</f>
        <v>0.66151468315301387</v>
      </c>
      <c r="H122" s="242">
        <f>E122/E121</f>
        <v>0.78226950354609925</v>
      </c>
    </row>
    <row r="123" spans="3:8" ht="26.25" customHeight="1" thickBot="1">
      <c r="C123" s="98" t="s">
        <v>61</v>
      </c>
      <c r="D123" s="100">
        <v>659</v>
      </c>
      <c r="E123" s="100">
        <v>662</v>
      </c>
      <c r="G123" s="242">
        <f>D123/D121</f>
        <v>0.33951571354971666</v>
      </c>
      <c r="H123" s="242">
        <f>E123/E121</f>
        <v>0.46950354609929079</v>
      </c>
    </row>
    <row r="126" spans="3:8" ht="15.75" thickBot="1"/>
    <row r="127" spans="3:8" ht="36" customHeight="1" thickBot="1">
      <c r="C127" s="405" t="s">
        <v>41</v>
      </c>
      <c r="D127" s="406"/>
      <c r="E127" s="407"/>
    </row>
    <row r="128" spans="3:8" ht="21" thickBot="1">
      <c r="C128" s="94"/>
      <c r="D128" s="95">
        <v>2024</v>
      </c>
      <c r="E128" s="95">
        <v>2025</v>
      </c>
    </row>
    <row r="129" spans="3:12" ht="21" thickBot="1">
      <c r="C129" s="96" t="s">
        <v>6</v>
      </c>
      <c r="D129" s="97">
        <v>1828</v>
      </c>
      <c r="E129" s="97">
        <v>1542</v>
      </c>
    </row>
    <row r="130" spans="3:12" ht="21" thickBot="1">
      <c r="C130" s="98" t="s">
        <v>60</v>
      </c>
      <c r="D130" s="100">
        <v>960</v>
      </c>
      <c r="E130" s="100">
        <v>813</v>
      </c>
      <c r="G130" s="242">
        <f>D130/D129</f>
        <v>0.52516411378555794</v>
      </c>
      <c r="H130" s="242">
        <f>E130/E129</f>
        <v>0.52723735408560313</v>
      </c>
    </row>
    <row r="131" spans="3:12" ht="21" thickBot="1">
      <c r="C131" s="98" t="s">
        <v>61</v>
      </c>
      <c r="D131" s="100">
        <v>868</v>
      </c>
      <c r="E131" s="100">
        <v>729</v>
      </c>
      <c r="G131" s="242">
        <f>D131/D129</f>
        <v>0.474835886214442</v>
      </c>
      <c r="H131" s="242">
        <f>E131/E129</f>
        <v>0.47276264591439687</v>
      </c>
    </row>
    <row r="134" spans="3:12" ht="15.75" thickBot="1"/>
    <row r="135" spans="3:12" ht="33.75" customHeight="1" thickBot="1">
      <c r="C135" s="405" t="s">
        <v>42</v>
      </c>
      <c r="D135" s="406"/>
      <c r="E135" s="407"/>
    </row>
    <row r="136" spans="3:12" ht="21" thickBot="1">
      <c r="C136" s="94"/>
      <c r="D136" s="95">
        <v>2024</v>
      </c>
      <c r="E136" s="95">
        <v>2025</v>
      </c>
    </row>
    <row r="137" spans="3:12" ht="29.25" customHeight="1" thickBot="1">
      <c r="C137" s="96" t="s">
        <v>6</v>
      </c>
      <c r="D137" s="97">
        <v>1955</v>
      </c>
      <c r="E137" s="97">
        <v>1595</v>
      </c>
    </row>
    <row r="138" spans="3:12" ht="28.5" customHeight="1" thickBot="1">
      <c r="C138" s="98" t="s">
        <v>60</v>
      </c>
      <c r="D138" s="100">
        <v>1060</v>
      </c>
      <c r="E138" s="100">
        <v>833</v>
      </c>
      <c r="G138" s="242">
        <f>D138/D137</f>
        <v>0.5421994884910486</v>
      </c>
      <c r="H138" s="242">
        <f>E138/E137</f>
        <v>0.52225705329153604</v>
      </c>
      <c r="L138" s="48"/>
    </row>
    <row r="139" spans="3:12" ht="30" customHeight="1" thickBot="1">
      <c r="C139" s="98" t="s">
        <v>61</v>
      </c>
      <c r="D139" s="100">
        <v>895</v>
      </c>
      <c r="E139" s="100">
        <v>762</v>
      </c>
      <c r="G139" s="242">
        <f>D139/D137</f>
        <v>0.4578005115089514</v>
      </c>
      <c r="H139" s="242">
        <f>E139/E137</f>
        <v>0.47774294670846396</v>
      </c>
    </row>
    <row r="141" spans="3:12" ht="15.75" thickBot="1"/>
    <row r="142" spans="3:12" ht="21" thickBot="1">
      <c r="C142" s="405" t="s">
        <v>43</v>
      </c>
      <c r="D142" s="406"/>
      <c r="E142" s="407"/>
    </row>
    <row r="143" spans="3:12" ht="21" thickBot="1">
      <c r="C143" s="94"/>
      <c r="D143" s="95">
        <v>2024</v>
      </c>
      <c r="E143" s="95">
        <v>2025</v>
      </c>
    </row>
    <row r="144" spans="3:12" ht="21" thickBot="1">
      <c r="C144" s="96" t="s">
        <v>6</v>
      </c>
      <c r="D144" s="97">
        <v>1987</v>
      </c>
      <c r="E144" s="97">
        <v>1612</v>
      </c>
    </row>
    <row r="145" spans="3:12" ht="21" thickBot="1">
      <c r="C145" s="98" t="s">
        <v>60</v>
      </c>
      <c r="D145" s="100">
        <v>999</v>
      </c>
      <c r="E145" s="100">
        <v>805</v>
      </c>
      <c r="G145" s="242">
        <f>D145/D144</f>
        <v>0.50276799194765975</v>
      </c>
      <c r="H145" s="242">
        <f>E145/E144</f>
        <v>0.49937965260545908</v>
      </c>
    </row>
    <row r="146" spans="3:12" ht="21" thickBot="1">
      <c r="C146" s="98" t="s">
        <v>61</v>
      </c>
      <c r="D146" s="100">
        <v>955</v>
      </c>
      <c r="E146" s="100">
        <v>807</v>
      </c>
      <c r="G146" s="242">
        <f>D146/D144</f>
        <v>0.4806240563663815</v>
      </c>
      <c r="H146" s="242">
        <f>E146/E144</f>
        <v>0.50062034739454098</v>
      </c>
    </row>
    <row r="148" spans="3:12" ht="15.75" thickBot="1"/>
    <row r="149" spans="3:12" ht="21" thickBot="1">
      <c r="C149" s="405" t="s">
        <v>44</v>
      </c>
      <c r="D149" s="406"/>
      <c r="E149" s="407"/>
    </row>
    <row r="150" spans="3:12" ht="21" thickBot="1">
      <c r="C150" s="94"/>
      <c r="D150" s="95">
        <v>2024</v>
      </c>
      <c r="E150" s="95">
        <v>2025</v>
      </c>
    </row>
    <row r="151" spans="3:12" ht="21" thickBot="1">
      <c r="C151" s="96" t="s">
        <v>6</v>
      </c>
      <c r="D151" s="97">
        <v>1789</v>
      </c>
      <c r="E151" s="97">
        <v>1579</v>
      </c>
      <c r="L151" s="48"/>
    </row>
    <row r="152" spans="3:12" ht="21" thickBot="1">
      <c r="C152" s="98" t="s">
        <v>60</v>
      </c>
      <c r="D152" s="100">
        <v>964</v>
      </c>
      <c r="E152" s="100">
        <f>E151-E153</f>
        <v>791</v>
      </c>
      <c r="G152" s="242">
        <f>D152/D151</f>
        <v>0.53884851872554496</v>
      </c>
      <c r="H152" s="242">
        <f>E152/E151</f>
        <v>0.50094996833438887</v>
      </c>
    </row>
    <row r="153" spans="3:12" ht="21" thickBot="1">
      <c r="C153" s="98" t="s">
        <v>61</v>
      </c>
      <c r="D153" s="100">
        <v>825</v>
      </c>
      <c r="E153" s="100">
        <v>788</v>
      </c>
      <c r="G153" s="242">
        <f>D153/D151</f>
        <v>0.46115148127445499</v>
      </c>
      <c r="H153" s="242">
        <f>E153/E151</f>
        <v>0.49905003166561113</v>
      </c>
    </row>
    <row r="154" spans="3:12" ht="15.75" thickBot="1"/>
    <row r="155" spans="3:12" ht="21" thickBot="1">
      <c r="C155" s="405" t="s">
        <v>45</v>
      </c>
      <c r="D155" s="406"/>
      <c r="E155" s="407"/>
    </row>
    <row r="156" spans="3:12" ht="21" thickBot="1">
      <c r="C156" s="94"/>
      <c r="D156" s="95">
        <v>2024</v>
      </c>
      <c r="E156" s="95">
        <v>2025</v>
      </c>
    </row>
    <row r="157" spans="3:12" ht="21" thickBot="1">
      <c r="C157" s="96" t="s">
        <v>6</v>
      </c>
      <c r="D157" s="97">
        <v>1740</v>
      </c>
      <c r="E157" s="97">
        <v>1709</v>
      </c>
    </row>
    <row r="158" spans="3:12" ht="21" thickBot="1">
      <c r="C158" s="98" t="s">
        <v>60</v>
      </c>
      <c r="D158" s="100">
        <f>D157-D159</f>
        <v>868</v>
      </c>
      <c r="E158" s="100">
        <f>E157-E159</f>
        <v>889</v>
      </c>
      <c r="G158" s="242">
        <f>D158/D157</f>
        <v>0.49885057471264366</v>
      </c>
      <c r="H158" s="242">
        <f>E158/E157</f>
        <v>0.52018724400234051</v>
      </c>
    </row>
    <row r="159" spans="3:12" ht="21" thickBot="1">
      <c r="C159" s="98" t="s">
        <v>61</v>
      </c>
      <c r="D159" s="100">
        <v>872</v>
      </c>
      <c r="E159" s="100">
        <v>820</v>
      </c>
      <c r="G159" s="242">
        <f>D159/D157</f>
        <v>0.50114942528735629</v>
      </c>
      <c r="H159" s="242">
        <f>E159/E157</f>
        <v>0.47981275599765943</v>
      </c>
    </row>
    <row r="160" spans="3:12" ht="21" thickBot="1">
      <c r="C160" s="350"/>
      <c r="D160" s="351"/>
      <c r="E160" s="351"/>
      <c r="G160" s="242"/>
      <c r="H160" s="242"/>
    </row>
    <row r="161" spans="3:8" ht="21" thickBot="1">
      <c r="C161" s="405" t="s">
        <v>46</v>
      </c>
      <c r="D161" s="406"/>
      <c r="E161" s="407"/>
    </row>
    <row r="162" spans="3:8" ht="21" thickBot="1">
      <c r="C162" s="94"/>
      <c r="D162" s="95">
        <v>2024</v>
      </c>
      <c r="E162" s="95">
        <v>2025</v>
      </c>
    </row>
    <row r="163" spans="3:8" ht="19.5" customHeight="1" thickBot="1">
      <c r="C163" s="96" t="s">
        <v>6</v>
      </c>
      <c r="D163" s="97">
        <v>1714</v>
      </c>
      <c r="E163" s="97">
        <v>1813</v>
      </c>
    </row>
    <row r="164" spans="3:8" ht="21" thickBot="1">
      <c r="C164" s="98" t="s">
        <v>60</v>
      </c>
      <c r="D164" s="100">
        <f>D163-D165</f>
        <v>901</v>
      </c>
      <c r="E164" s="100">
        <f>E163-E165</f>
        <v>888</v>
      </c>
      <c r="G164" s="242">
        <f>D164/D163</f>
        <v>0.52567094515752621</v>
      </c>
      <c r="H164" s="242">
        <f>E164/E163</f>
        <v>0.48979591836734693</v>
      </c>
    </row>
    <row r="165" spans="3:8" ht="21" thickBot="1">
      <c r="C165" s="98" t="s">
        <v>61</v>
      </c>
      <c r="D165" s="100">
        <v>813</v>
      </c>
      <c r="E165" s="100">
        <v>925</v>
      </c>
      <c r="G165" s="242">
        <f>D165/D163</f>
        <v>0.47432905484247373</v>
      </c>
      <c r="H165" s="242">
        <f>E165/E163</f>
        <v>0.51020408163265307</v>
      </c>
    </row>
    <row r="166" spans="3:8" ht="15.75" thickBot="1"/>
    <row r="167" spans="3:8" ht="21" thickBot="1">
      <c r="C167" s="405" t="s">
        <v>47</v>
      </c>
      <c r="D167" s="406"/>
      <c r="E167" s="407"/>
    </row>
    <row r="168" spans="3:8" ht="21" thickBot="1">
      <c r="C168" s="94"/>
      <c r="D168" s="95">
        <v>2024</v>
      </c>
      <c r="E168" s="95">
        <v>2025</v>
      </c>
    </row>
    <row r="169" spans="3:8" ht="21" thickBot="1">
      <c r="C169" s="96" t="s">
        <v>6</v>
      </c>
      <c r="D169" s="97"/>
      <c r="E169" s="97"/>
    </row>
    <row r="170" spans="3:8" ht="21" thickBot="1">
      <c r="C170" s="98" t="s">
        <v>60</v>
      </c>
      <c r="D170" s="100"/>
      <c r="E170" s="100"/>
      <c r="G170" s="242" t="e">
        <f>D170/D169</f>
        <v>#DIV/0!</v>
      </c>
      <c r="H170" s="242" t="e">
        <f>E170/E169</f>
        <v>#DIV/0!</v>
      </c>
    </row>
    <row r="171" spans="3:8" ht="21" thickBot="1">
      <c r="C171" s="98" t="s">
        <v>61</v>
      </c>
      <c r="D171" s="100"/>
      <c r="E171" s="100"/>
      <c r="G171" s="242" t="e">
        <f>D171/D169</f>
        <v>#DIV/0!</v>
      </c>
      <c r="H171" s="242" t="e">
        <f>E171/E169</f>
        <v>#DIV/0!</v>
      </c>
    </row>
  </sheetData>
  <mergeCells count="26">
    <mergeCell ref="C142:E142"/>
    <mergeCell ref="C149:E149"/>
    <mergeCell ref="C135:E135"/>
    <mergeCell ref="K33:K34"/>
    <mergeCell ref="B84:J84"/>
    <mergeCell ref="C127:E127"/>
    <mergeCell ref="B74:J74"/>
    <mergeCell ref="B60:H60"/>
    <mergeCell ref="B69:H69"/>
    <mergeCell ref="C119:E119"/>
    <mergeCell ref="C161:E161"/>
    <mergeCell ref="C167:E167"/>
    <mergeCell ref="B2:L2"/>
    <mergeCell ref="G49:K49"/>
    <mergeCell ref="C49:F49"/>
    <mergeCell ref="C103:E103"/>
    <mergeCell ref="C111:E111"/>
    <mergeCell ref="C95:E95"/>
    <mergeCell ref="C88:E88"/>
    <mergeCell ref="B32:K32"/>
    <mergeCell ref="B33:B34"/>
    <mergeCell ref="C33:E33"/>
    <mergeCell ref="F33:F34"/>
    <mergeCell ref="G33:I33"/>
    <mergeCell ref="J33:J34"/>
    <mergeCell ref="C155:E15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O62"/>
  <sheetViews>
    <sheetView workbookViewId="0">
      <selection activeCell="F54" sqref="F54"/>
    </sheetView>
  </sheetViews>
  <sheetFormatPr baseColWidth="10" defaultRowHeight="15"/>
  <cols>
    <col min="2" max="2" width="18" customWidth="1"/>
    <col min="3" max="3" width="22.140625" customWidth="1"/>
    <col min="4" max="4" width="16.28515625" bestFit="1" customWidth="1"/>
    <col min="5" max="5" width="16.5703125" customWidth="1"/>
    <col min="6" max="6" width="15.85546875" bestFit="1" customWidth="1"/>
    <col min="7" max="7" width="17.42578125" customWidth="1"/>
    <col min="8" max="8" width="11.5703125" bestFit="1" customWidth="1"/>
    <col min="9" max="9" width="12.28515625" bestFit="1" customWidth="1"/>
    <col min="10" max="10" width="13" customWidth="1"/>
    <col min="11" max="11" width="14.42578125" bestFit="1" customWidth="1"/>
    <col min="12" max="12" width="18.85546875" bestFit="1" customWidth="1"/>
    <col min="13" max="13" width="15.85546875" bestFit="1" customWidth="1"/>
    <col min="14" max="14" width="11.5703125" bestFit="1" customWidth="1"/>
    <col min="23" max="23" width="32.42578125" customWidth="1"/>
  </cols>
  <sheetData>
    <row r="1" spans="2:3" ht="15.75" thickBot="1"/>
    <row r="2" spans="2:3" ht="23.25" customHeight="1">
      <c r="B2" s="459" t="s">
        <v>170</v>
      </c>
      <c r="C2" s="460"/>
    </row>
    <row r="3" spans="2:3" ht="18.75" customHeight="1">
      <c r="B3" s="86" t="s">
        <v>0</v>
      </c>
      <c r="C3" s="87" t="s">
        <v>78</v>
      </c>
    </row>
    <row r="4" spans="2:3" ht="18.75" customHeight="1">
      <c r="B4" s="191" t="s">
        <v>3</v>
      </c>
      <c r="C4" s="192">
        <v>7684</v>
      </c>
    </row>
    <row r="5" spans="2:3" ht="18.75" customHeight="1">
      <c r="B5" s="191" t="s">
        <v>77</v>
      </c>
      <c r="C5" s="192">
        <v>75140</v>
      </c>
    </row>
    <row r="6" spans="2:3" ht="26.25" customHeight="1" thickBot="1">
      <c r="B6" s="193" t="s">
        <v>152</v>
      </c>
      <c r="C6" s="194">
        <f>SUM(C4:C5)</f>
        <v>82824</v>
      </c>
    </row>
    <row r="15" spans="2:3" ht="15.75" thickBot="1"/>
    <row r="16" spans="2:3" ht="33.75" customHeight="1">
      <c r="B16" s="464" t="s">
        <v>125</v>
      </c>
      <c r="C16" s="465"/>
    </row>
    <row r="17" spans="2:14">
      <c r="B17" s="86" t="s">
        <v>0</v>
      </c>
      <c r="C17" s="87" t="s">
        <v>78</v>
      </c>
    </row>
    <row r="18" spans="2:14">
      <c r="B18" s="191" t="s">
        <v>5</v>
      </c>
      <c r="C18" s="192">
        <v>4903</v>
      </c>
    </row>
    <row r="19" spans="2:14">
      <c r="B19" s="191" t="s">
        <v>3</v>
      </c>
      <c r="C19" s="192">
        <v>33706</v>
      </c>
    </row>
    <row r="20" spans="2:14">
      <c r="B20" s="191" t="s">
        <v>77</v>
      </c>
      <c r="C20" s="192">
        <v>395279</v>
      </c>
    </row>
    <row r="21" spans="2:14" ht="26.25" thickBot="1">
      <c r="B21" s="243" t="s">
        <v>126</v>
      </c>
      <c r="C21" s="194">
        <f>SUM(C18:C20)</f>
        <v>433888</v>
      </c>
    </row>
    <row r="22" spans="2:14" ht="15.75" thickBot="1"/>
    <row r="23" spans="2:14" ht="15.75" thickBot="1">
      <c r="B23" s="115"/>
      <c r="C23" s="466" t="s">
        <v>99</v>
      </c>
      <c r="D23" s="467"/>
      <c r="E23" s="467"/>
      <c r="F23" s="467"/>
      <c r="G23" s="467"/>
      <c r="H23" s="467"/>
      <c r="I23" s="467"/>
      <c r="J23" s="283"/>
      <c r="K23" s="283"/>
      <c r="L23" s="283"/>
      <c r="M23" s="283"/>
      <c r="N23" s="284"/>
    </row>
    <row r="24" spans="2:14">
      <c r="B24" s="116"/>
      <c r="C24" s="287"/>
      <c r="D24" s="288"/>
      <c r="E24" s="288"/>
      <c r="F24" s="288"/>
      <c r="G24" s="288"/>
      <c r="H24" s="288"/>
      <c r="I24" s="288"/>
      <c r="J24" s="288"/>
      <c r="K24" s="288"/>
      <c r="L24" s="288"/>
      <c r="M24" s="288"/>
      <c r="N24" s="289"/>
    </row>
    <row r="25" spans="2:14" ht="26.25">
      <c r="B25" s="125" t="s">
        <v>109</v>
      </c>
      <c r="C25" s="117" t="s">
        <v>79</v>
      </c>
      <c r="D25" s="118" t="s">
        <v>80</v>
      </c>
      <c r="E25" s="118" t="s">
        <v>81</v>
      </c>
      <c r="F25" s="118" t="s">
        <v>82</v>
      </c>
      <c r="G25" s="118" t="s">
        <v>83</v>
      </c>
      <c r="H25" s="118" t="s">
        <v>84</v>
      </c>
      <c r="I25" s="118" t="s">
        <v>85</v>
      </c>
      <c r="J25" s="118" t="s">
        <v>86</v>
      </c>
      <c r="K25" s="118" t="s">
        <v>87</v>
      </c>
      <c r="L25" s="118" t="s">
        <v>88</v>
      </c>
      <c r="M25" s="118" t="s">
        <v>89</v>
      </c>
      <c r="N25" s="119" t="s">
        <v>90</v>
      </c>
    </row>
    <row r="26" spans="2:14">
      <c r="B26" s="120" t="s">
        <v>91</v>
      </c>
      <c r="C26" s="121">
        <v>5936</v>
      </c>
      <c r="D26" s="122">
        <v>4828</v>
      </c>
      <c r="E26" s="122">
        <v>5792</v>
      </c>
      <c r="F26" s="122">
        <v>6690</v>
      </c>
      <c r="G26" s="122">
        <v>4289</v>
      </c>
      <c r="H26" s="122">
        <v>6171</v>
      </c>
      <c r="I26" s="122">
        <v>5322</v>
      </c>
      <c r="J26" s="122">
        <v>6117</v>
      </c>
      <c r="K26" s="122">
        <v>3933</v>
      </c>
      <c r="L26" s="122">
        <v>3600</v>
      </c>
      <c r="M26" s="122"/>
      <c r="N26" s="123"/>
    </row>
    <row r="27" spans="2:14">
      <c r="B27" s="124" t="s">
        <v>110</v>
      </c>
      <c r="C27" s="472">
        <f>SUM(C26:K26)</f>
        <v>49078</v>
      </c>
      <c r="D27" s="473"/>
      <c r="E27" s="473"/>
      <c r="F27" s="473"/>
      <c r="G27" s="473"/>
      <c r="H27" s="473"/>
      <c r="I27" s="473"/>
      <c r="J27" s="473"/>
      <c r="K27" s="473"/>
      <c r="L27" s="290"/>
      <c r="M27" s="290"/>
      <c r="N27" s="291"/>
    </row>
    <row r="28" spans="2:14" ht="12.75" customHeight="1" thickBot="1">
      <c r="B28" s="438" t="s">
        <v>92</v>
      </c>
      <c r="C28" s="439"/>
      <c r="D28" s="439"/>
      <c r="E28" s="439"/>
      <c r="F28" s="439"/>
      <c r="G28" s="439"/>
      <c r="H28" s="439"/>
      <c r="I28" s="439"/>
      <c r="J28" s="285"/>
      <c r="K28" s="285"/>
      <c r="L28" s="285"/>
      <c r="M28" s="285"/>
      <c r="N28" s="286"/>
    </row>
    <row r="30" spans="2:14" ht="15.75" thickBot="1"/>
    <row r="31" spans="2:14" ht="15.75" thickBot="1">
      <c r="B31" s="46"/>
      <c r="C31" s="468" t="s">
        <v>100</v>
      </c>
      <c r="D31" s="469"/>
      <c r="E31" s="469"/>
      <c r="F31" s="469"/>
      <c r="G31" s="469"/>
      <c r="H31" s="469"/>
      <c r="I31" s="469"/>
      <c r="J31" s="292"/>
      <c r="K31" s="292"/>
      <c r="L31" s="292"/>
      <c r="M31" s="292"/>
      <c r="N31" s="293"/>
    </row>
    <row r="32" spans="2:14">
      <c r="B32" s="47"/>
      <c r="C32" s="294"/>
      <c r="D32" s="295"/>
      <c r="E32" s="295"/>
      <c r="F32" s="295"/>
      <c r="G32" s="295"/>
      <c r="H32" s="295"/>
      <c r="I32" s="295"/>
      <c r="J32" s="295"/>
      <c r="K32" s="295"/>
      <c r="L32" s="295"/>
      <c r="M32" s="295"/>
      <c r="N32" s="296"/>
    </row>
    <row r="33" spans="2:14" ht="30">
      <c r="B33" s="107" t="s">
        <v>109</v>
      </c>
      <c r="C33" s="108" t="s">
        <v>79</v>
      </c>
      <c r="D33" s="109" t="s">
        <v>80</v>
      </c>
      <c r="E33" s="109" t="s">
        <v>81</v>
      </c>
      <c r="F33" s="109" t="s">
        <v>82</v>
      </c>
      <c r="G33" s="109" t="s">
        <v>83</v>
      </c>
      <c r="H33" s="109" t="s">
        <v>84</v>
      </c>
      <c r="I33" s="109" t="s">
        <v>85</v>
      </c>
      <c r="J33" s="109" t="s">
        <v>86</v>
      </c>
      <c r="K33" s="109" t="s">
        <v>87</v>
      </c>
      <c r="L33" s="109" t="s">
        <v>88</v>
      </c>
      <c r="M33" s="109" t="s">
        <v>89</v>
      </c>
      <c r="N33" s="110" t="s">
        <v>90</v>
      </c>
    </row>
    <row r="34" spans="2:14">
      <c r="B34" s="104" t="s">
        <v>91</v>
      </c>
      <c r="C34" s="105">
        <v>76931</v>
      </c>
      <c r="D34" s="106">
        <v>71983</v>
      </c>
      <c r="E34" s="106">
        <v>60392</v>
      </c>
      <c r="F34" s="106">
        <v>60392</v>
      </c>
      <c r="G34" s="106">
        <v>62009</v>
      </c>
      <c r="H34" s="106">
        <v>63572</v>
      </c>
      <c r="I34" s="106">
        <v>51617</v>
      </c>
      <c r="J34" s="106">
        <v>61483</v>
      </c>
      <c r="K34" s="106">
        <v>61509</v>
      </c>
      <c r="L34" s="106">
        <v>62653</v>
      </c>
      <c r="M34" s="106"/>
      <c r="N34" s="67"/>
    </row>
    <row r="35" spans="2:14">
      <c r="B35" s="103" t="s">
        <v>110</v>
      </c>
      <c r="C35" s="470">
        <f>SUM(C34:K34)</f>
        <v>569888</v>
      </c>
      <c r="D35" s="471"/>
      <c r="E35" s="471"/>
      <c r="F35" s="471"/>
      <c r="G35" s="471"/>
      <c r="H35" s="471"/>
      <c r="I35" s="471"/>
      <c r="J35" s="471"/>
      <c r="K35" s="471"/>
      <c r="L35" s="297"/>
      <c r="M35" s="297"/>
      <c r="N35" s="298"/>
    </row>
    <row r="36" spans="2:14" ht="15.75" customHeight="1" thickBot="1">
      <c r="B36" s="456" t="s">
        <v>92</v>
      </c>
      <c r="C36" s="457"/>
      <c r="D36" s="457"/>
      <c r="E36" s="457"/>
      <c r="F36" s="457"/>
      <c r="G36" s="457"/>
      <c r="H36" s="457"/>
      <c r="I36" s="457"/>
      <c r="J36" s="299"/>
      <c r="K36" s="299"/>
      <c r="L36" s="299"/>
      <c r="M36" s="299"/>
      <c r="N36" s="300"/>
    </row>
    <row r="38" spans="2:14" ht="15.75" thickBot="1"/>
    <row r="39" spans="2:14" ht="15.75" thickBot="1">
      <c r="B39" s="46"/>
      <c r="C39" s="461" t="s">
        <v>100</v>
      </c>
      <c r="D39" s="462"/>
      <c r="E39" s="462"/>
      <c r="F39" s="462"/>
      <c r="G39" s="462"/>
      <c r="H39" s="462"/>
      <c r="I39" s="462"/>
      <c r="J39" s="462"/>
      <c r="K39" s="462"/>
      <c r="L39" s="462"/>
      <c r="M39" s="462"/>
      <c r="N39" s="463"/>
    </row>
    <row r="40" spans="2:14" ht="19.5" customHeight="1">
      <c r="B40" s="47"/>
      <c r="C40" s="443"/>
      <c r="D40" s="443"/>
      <c r="E40" s="443"/>
      <c r="F40" s="443"/>
      <c r="G40" s="443"/>
      <c r="H40" s="443"/>
      <c r="I40" s="443"/>
      <c r="J40" s="443"/>
      <c r="K40" s="443"/>
      <c r="L40" s="443"/>
      <c r="M40" s="443"/>
      <c r="N40" s="444"/>
    </row>
    <row r="41" spans="2:14" ht="30">
      <c r="B41" s="114" t="s">
        <v>109</v>
      </c>
      <c r="C41" s="111" t="s">
        <v>79</v>
      </c>
      <c r="D41" s="111" t="s">
        <v>80</v>
      </c>
      <c r="E41" s="111" t="s">
        <v>81</v>
      </c>
      <c r="F41" s="111" t="s">
        <v>82</v>
      </c>
      <c r="G41" s="111" t="s">
        <v>83</v>
      </c>
      <c r="H41" s="111" t="s">
        <v>84</v>
      </c>
      <c r="I41" s="111" t="s">
        <v>85</v>
      </c>
      <c r="J41" s="111" t="s">
        <v>86</v>
      </c>
      <c r="K41" s="111" t="s">
        <v>87</v>
      </c>
      <c r="L41" s="111" t="s">
        <v>88</v>
      </c>
      <c r="M41" s="111" t="s">
        <v>89</v>
      </c>
      <c r="N41" s="112" t="s">
        <v>90</v>
      </c>
    </row>
    <row r="42" spans="2:14">
      <c r="B42" s="113" t="s">
        <v>91</v>
      </c>
      <c r="C42" s="106">
        <v>4903</v>
      </c>
      <c r="D42" s="106" t="s">
        <v>95</v>
      </c>
      <c r="E42" s="106" t="s">
        <v>95</v>
      </c>
      <c r="F42" s="106" t="s">
        <v>95</v>
      </c>
      <c r="G42" s="106" t="s">
        <v>95</v>
      </c>
      <c r="H42" s="106" t="s">
        <v>95</v>
      </c>
      <c r="I42" s="106" t="s">
        <v>95</v>
      </c>
      <c r="J42" s="106" t="s">
        <v>95</v>
      </c>
      <c r="K42" s="106" t="s">
        <v>95</v>
      </c>
      <c r="L42" s="106" t="s">
        <v>95</v>
      </c>
      <c r="M42" s="106"/>
      <c r="N42" s="67"/>
    </row>
    <row r="43" spans="2:14">
      <c r="B43" s="101" t="s">
        <v>110</v>
      </c>
      <c r="C43" s="474">
        <f>+C42</f>
        <v>4903</v>
      </c>
      <c r="D43" s="471"/>
      <c r="E43" s="471"/>
      <c r="F43" s="471"/>
      <c r="G43" s="471"/>
      <c r="H43" s="471"/>
      <c r="I43" s="471"/>
      <c r="J43" s="471"/>
      <c r="K43" s="471"/>
      <c r="L43" s="297"/>
      <c r="M43" s="297"/>
      <c r="N43" s="298"/>
    </row>
    <row r="44" spans="2:14" ht="14.25" customHeight="1" thickBot="1">
      <c r="B44" s="438" t="s">
        <v>92</v>
      </c>
      <c r="C44" s="439"/>
      <c r="D44" s="439"/>
      <c r="E44" s="439"/>
      <c r="F44" s="439"/>
      <c r="G44" s="439"/>
      <c r="H44" s="439"/>
      <c r="I44" s="439"/>
      <c r="J44" s="439"/>
      <c r="K44" s="439"/>
      <c r="L44" s="439"/>
      <c r="M44" s="439"/>
      <c r="N44" s="458"/>
    </row>
    <row r="46" spans="2:14" ht="15.75" thickBot="1"/>
    <row r="47" spans="2:14" ht="15.75" thickBot="1">
      <c r="B47" s="46"/>
      <c r="C47" s="440" t="s">
        <v>100</v>
      </c>
      <c r="D47" s="441"/>
      <c r="E47" s="441"/>
      <c r="F47" s="441"/>
      <c r="G47" s="441"/>
      <c r="H47" s="441"/>
      <c r="I47" s="441"/>
      <c r="J47" s="441"/>
      <c r="K47" s="441"/>
      <c r="L47" s="441"/>
      <c r="M47" s="441"/>
      <c r="N47" s="442"/>
    </row>
    <row r="48" spans="2:14">
      <c r="B48" s="47"/>
      <c r="C48" s="443"/>
      <c r="D48" s="443"/>
      <c r="E48" s="443"/>
      <c r="F48" s="443"/>
      <c r="G48" s="443"/>
      <c r="H48" s="443"/>
      <c r="I48" s="443"/>
      <c r="J48" s="443"/>
      <c r="K48" s="443"/>
      <c r="L48" s="443"/>
      <c r="M48" s="443"/>
      <c r="N48" s="444"/>
    </row>
    <row r="49" spans="2:15" ht="30">
      <c r="B49" s="128" t="s">
        <v>109</v>
      </c>
      <c r="C49" s="126" t="s">
        <v>79</v>
      </c>
      <c r="D49" s="126" t="s">
        <v>80</v>
      </c>
      <c r="E49" s="126" t="s">
        <v>81</v>
      </c>
      <c r="F49" s="126" t="s">
        <v>82</v>
      </c>
      <c r="G49" s="126" t="s">
        <v>83</v>
      </c>
      <c r="H49" s="126" t="s">
        <v>84</v>
      </c>
      <c r="I49" s="126" t="s">
        <v>85</v>
      </c>
      <c r="J49" s="126" t="s">
        <v>86</v>
      </c>
      <c r="K49" s="126" t="s">
        <v>87</v>
      </c>
      <c r="L49" s="126" t="s">
        <v>88</v>
      </c>
      <c r="M49" s="126" t="s">
        <v>89</v>
      </c>
      <c r="N49" s="127" t="s">
        <v>90</v>
      </c>
    </row>
    <row r="50" spans="2:15">
      <c r="B50" s="113" t="s">
        <v>91</v>
      </c>
      <c r="C50" s="106" t="s">
        <v>95</v>
      </c>
      <c r="D50" s="106" t="s">
        <v>95</v>
      </c>
      <c r="E50" s="106" t="s">
        <v>95</v>
      </c>
      <c r="F50" s="106" t="s">
        <v>95</v>
      </c>
      <c r="G50" s="106" t="s">
        <v>95</v>
      </c>
      <c r="H50" s="106" t="s">
        <v>95</v>
      </c>
      <c r="I50" s="106" t="s">
        <v>95</v>
      </c>
      <c r="J50" s="106" t="s">
        <v>95</v>
      </c>
      <c r="K50" s="106" t="s">
        <v>95</v>
      </c>
      <c r="L50" s="106" t="s">
        <v>95</v>
      </c>
      <c r="M50" s="106" t="s">
        <v>95</v>
      </c>
      <c r="N50" s="67" t="s">
        <v>95</v>
      </c>
    </row>
    <row r="51" spans="2:15">
      <c r="B51" s="102" t="s">
        <v>110</v>
      </c>
      <c r="C51" s="445">
        <f>SUM(C50:N50)</f>
        <v>0</v>
      </c>
      <c r="D51" s="446"/>
      <c r="E51" s="446"/>
      <c r="F51" s="446"/>
      <c r="G51" s="446"/>
      <c r="H51" s="446"/>
      <c r="I51" s="446"/>
      <c r="J51" s="446"/>
      <c r="K51" s="446"/>
      <c r="L51" s="446"/>
      <c r="M51" s="446"/>
      <c r="N51" s="447"/>
    </row>
    <row r="52" spans="2:15" ht="30" thickBot="1">
      <c r="B52" s="151" t="s">
        <v>92</v>
      </c>
      <c r="C52" s="448"/>
      <c r="D52" s="449"/>
      <c r="E52" s="449"/>
      <c r="F52" s="449"/>
      <c r="G52" s="449"/>
      <c r="H52" s="449"/>
      <c r="I52" s="449"/>
      <c r="J52" s="449"/>
      <c r="K52" s="449"/>
      <c r="L52" s="449"/>
      <c r="M52" s="449"/>
      <c r="N52" s="450"/>
    </row>
    <row r="54" spans="2:15" ht="15.75" thickBot="1"/>
    <row r="55" spans="2:15">
      <c r="B55" s="453" t="s">
        <v>100</v>
      </c>
      <c r="C55" s="454"/>
      <c r="D55" s="454"/>
      <c r="E55" s="454"/>
      <c r="F55" s="454"/>
      <c r="G55" s="454"/>
      <c r="H55" s="454"/>
      <c r="I55" s="454"/>
      <c r="J55" s="454"/>
      <c r="K55" s="454"/>
      <c r="L55" s="454"/>
      <c r="M55" s="454"/>
      <c r="N55" s="455"/>
    </row>
    <row r="56" spans="2:15" ht="26.25">
      <c r="B56" s="152" t="s">
        <v>109</v>
      </c>
      <c r="C56" s="153" t="s">
        <v>79</v>
      </c>
      <c r="D56" s="153" t="s">
        <v>80</v>
      </c>
      <c r="E56" s="153" t="s">
        <v>81</v>
      </c>
      <c r="F56" s="153" t="s">
        <v>82</v>
      </c>
      <c r="G56" s="153" t="s">
        <v>83</v>
      </c>
      <c r="H56" s="153" t="s">
        <v>84</v>
      </c>
      <c r="I56" s="153" t="s">
        <v>85</v>
      </c>
      <c r="J56" s="153" t="s">
        <v>86</v>
      </c>
      <c r="K56" s="153" t="s">
        <v>87</v>
      </c>
      <c r="L56" s="153" t="s">
        <v>88</v>
      </c>
      <c r="M56" s="153" t="s">
        <v>89</v>
      </c>
      <c r="N56" s="154" t="s">
        <v>90</v>
      </c>
    </row>
    <row r="57" spans="2:15">
      <c r="B57" s="129" t="s">
        <v>77</v>
      </c>
      <c r="C57" s="121">
        <v>76931</v>
      </c>
      <c r="D57" s="122">
        <v>71983</v>
      </c>
      <c r="E57" s="122">
        <v>60392</v>
      </c>
      <c r="F57" s="122">
        <v>60392</v>
      </c>
      <c r="G57" s="122">
        <v>62009</v>
      </c>
      <c r="H57" s="122">
        <v>63572</v>
      </c>
      <c r="I57" s="122">
        <v>51617</v>
      </c>
      <c r="J57" s="122">
        <v>61483</v>
      </c>
      <c r="K57" s="122">
        <v>61509</v>
      </c>
      <c r="L57" s="122">
        <v>63653</v>
      </c>
      <c r="M57" s="122">
        <v>75140</v>
      </c>
      <c r="N57" s="123"/>
      <c r="O57" s="48">
        <f>SUM(C57:N57)</f>
        <v>708681</v>
      </c>
    </row>
    <row r="58" spans="2:15">
      <c r="B58" s="129" t="s">
        <v>3</v>
      </c>
      <c r="C58" s="121">
        <v>5936</v>
      </c>
      <c r="D58" s="122">
        <v>4828</v>
      </c>
      <c r="E58" s="122">
        <v>5792</v>
      </c>
      <c r="F58" s="122">
        <v>6690</v>
      </c>
      <c r="G58" s="122">
        <v>4289</v>
      </c>
      <c r="H58" s="122">
        <v>6171</v>
      </c>
      <c r="I58" s="122">
        <v>5322</v>
      </c>
      <c r="J58" s="122">
        <v>6117</v>
      </c>
      <c r="K58" s="122">
        <v>3933</v>
      </c>
      <c r="L58" s="122">
        <v>3600</v>
      </c>
      <c r="M58" s="122">
        <v>7684</v>
      </c>
      <c r="N58" s="123"/>
      <c r="O58" s="48">
        <f>SUM(C58:N58)</f>
        <v>60362</v>
      </c>
    </row>
    <row r="59" spans="2:15">
      <c r="B59" s="129" t="s">
        <v>5</v>
      </c>
      <c r="C59" s="122">
        <v>4903</v>
      </c>
      <c r="D59" s="122" t="s">
        <v>95</v>
      </c>
      <c r="E59" s="122" t="s">
        <v>95</v>
      </c>
      <c r="F59" s="122" t="s">
        <v>95</v>
      </c>
      <c r="G59" s="122" t="s">
        <v>95</v>
      </c>
      <c r="H59" s="122" t="s">
        <v>95</v>
      </c>
      <c r="I59" s="122" t="s">
        <v>95</v>
      </c>
      <c r="J59" s="122" t="s">
        <v>95</v>
      </c>
      <c r="K59" s="122" t="s">
        <v>95</v>
      </c>
      <c r="L59" s="122" t="s">
        <v>95</v>
      </c>
      <c r="M59" s="122" t="s">
        <v>95</v>
      </c>
      <c r="N59" s="123"/>
      <c r="O59" s="48">
        <f t="shared" ref="O59:O60" si="0">SUM(C59:N59)</f>
        <v>4903</v>
      </c>
    </row>
    <row r="60" spans="2:15" ht="18">
      <c r="B60" s="131" t="s">
        <v>96</v>
      </c>
      <c r="C60" s="132">
        <f t="shared" ref="C60:F60" si="1">SUM(C57:C59)</f>
        <v>87770</v>
      </c>
      <c r="D60" s="132">
        <f t="shared" si="1"/>
        <v>76811</v>
      </c>
      <c r="E60" s="132">
        <f t="shared" si="1"/>
        <v>66184</v>
      </c>
      <c r="F60" s="132">
        <f t="shared" si="1"/>
        <v>67082</v>
      </c>
      <c r="G60" s="132">
        <f>SUM(G57:G59)</f>
        <v>66298</v>
      </c>
      <c r="H60" s="132">
        <f>SUM(H57:H59)</f>
        <v>69743</v>
      </c>
      <c r="I60" s="132">
        <f>SUM(I57:I59)</f>
        <v>56939</v>
      </c>
      <c r="J60" s="132">
        <f t="shared" ref="J60:N60" si="2">SUM(J57:J59)</f>
        <v>67600</v>
      </c>
      <c r="K60" s="132">
        <f t="shared" si="2"/>
        <v>65442</v>
      </c>
      <c r="L60" s="132">
        <f t="shared" si="2"/>
        <v>67253</v>
      </c>
      <c r="M60" s="132">
        <f t="shared" si="2"/>
        <v>82824</v>
      </c>
      <c r="N60" s="132">
        <f t="shared" si="2"/>
        <v>0</v>
      </c>
      <c r="O60" s="48">
        <f t="shared" si="0"/>
        <v>773946</v>
      </c>
    </row>
    <row r="61" spans="2:15" ht="18">
      <c r="B61" s="130" t="s">
        <v>110</v>
      </c>
      <c r="C61" s="451">
        <f>SUM(C60:N60)</f>
        <v>773946</v>
      </c>
      <c r="D61" s="452"/>
      <c r="E61" s="452"/>
      <c r="F61" s="452"/>
      <c r="G61" s="452"/>
      <c r="H61" s="452"/>
      <c r="I61" s="301"/>
      <c r="J61" s="301"/>
      <c r="K61" s="301"/>
      <c r="L61" s="301"/>
      <c r="M61" s="301"/>
      <c r="N61" s="302"/>
    </row>
    <row r="62" spans="2:15" ht="17.25" customHeight="1" thickBot="1">
      <c r="B62" s="438" t="s">
        <v>92</v>
      </c>
      <c r="C62" s="439"/>
      <c r="D62" s="439"/>
      <c r="E62" s="439"/>
      <c r="F62" s="439"/>
      <c r="G62" s="439"/>
      <c r="H62" s="439"/>
      <c r="I62" s="439"/>
      <c r="J62" s="285"/>
      <c r="K62" s="285"/>
      <c r="L62" s="285"/>
      <c r="M62" s="285"/>
      <c r="N62" s="286"/>
    </row>
  </sheetData>
  <mergeCells count="19">
    <mergeCell ref="B36:I36"/>
    <mergeCell ref="B44:N44"/>
    <mergeCell ref="B2:C2"/>
    <mergeCell ref="C39:N39"/>
    <mergeCell ref="C40:N40"/>
    <mergeCell ref="B16:C16"/>
    <mergeCell ref="C23:I23"/>
    <mergeCell ref="B28:I28"/>
    <mergeCell ref="C31:I31"/>
    <mergeCell ref="C35:K35"/>
    <mergeCell ref="C27:K27"/>
    <mergeCell ref="C43:K43"/>
    <mergeCell ref="B62:I62"/>
    <mergeCell ref="C47:N47"/>
    <mergeCell ref="C48:N48"/>
    <mergeCell ref="C51:N51"/>
    <mergeCell ref="C52:N52"/>
    <mergeCell ref="C61:H61"/>
    <mergeCell ref="B55:N55"/>
  </mergeCells>
  <pageMargins left="0.7" right="0.7" top="0.75" bottom="0.75" header="0.3" footer="0.3"/>
  <pageSetup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33"/>
  <sheetViews>
    <sheetView topLeftCell="A15" workbookViewId="0">
      <selection activeCell="C31" sqref="C31"/>
    </sheetView>
  </sheetViews>
  <sheetFormatPr baseColWidth="10" defaultRowHeight="15"/>
  <cols>
    <col min="2" max="2" width="34.7109375" customWidth="1"/>
    <col min="3" max="3" width="13.42578125" customWidth="1"/>
    <col min="4" max="4" width="17.140625" customWidth="1"/>
    <col min="5" max="5" width="22" customWidth="1"/>
    <col min="6" max="6" width="21.42578125" customWidth="1"/>
    <col min="7" max="7" width="25.140625" customWidth="1"/>
    <col min="10" max="10" width="18.5703125" customWidth="1"/>
  </cols>
  <sheetData>
    <row r="1" spans="1:11" ht="29.25" customHeight="1" thickBot="1"/>
    <row r="2" spans="1:11" ht="24" customHeight="1">
      <c r="A2" s="352" t="s">
        <v>111</v>
      </c>
      <c r="B2" s="353"/>
      <c r="C2" s="353"/>
      <c r="D2" s="353"/>
      <c r="E2" s="353"/>
      <c r="F2" s="353"/>
      <c r="G2" s="354"/>
    </row>
    <row r="3" spans="1:11" ht="22.5" customHeight="1">
      <c r="A3" s="27" t="s">
        <v>48</v>
      </c>
      <c r="B3" s="28" t="s">
        <v>62</v>
      </c>
      <c r="C3" s="28" t="s">
        <v>63</v>
      </c>
      <c r="D3" s="28" t="s">
        <v>64</v>
      </c>
      <c r="E3" s="29" t="s">
        <v>65</v>
      </c>
      <c r="F3" s="30" t="s">
        <v>66</v>
      </c>
      <c r="G3" s="31" t="s">
        <v>67</v>
      </c>
    </row>
    <row r="4" spans="1:11" ht="17.25" customHeight="1">
      <c r="A4" s="32">
        <v>45658</v>
      </c>
      <c r="B4" s="355" t="s">
        <v>68</v>
      </c>
      <c r="C4" s="33">
        <v>107735</v>
      </c>
      <c r="D4" s="34">
        <v>2421001960</v>
      </c>
      <c r="E4" s="35">
        <v>22472</v>
      </c>
      <c r="F4" s="36">
        <v>555895528</v>
      </c>
      <c r="G4" s="37">
        <v>29.81</v>
      </c>
    </row>
    <row r="5" spans="1:11" ht="17.25" customHeight="1">
      <c r="A5" s="32">
        <v>45689</v>
      </c>
      <c r="B5" s="356"/>
      <c r="C5" s="33">
        <v>77585</v>
      </c>
      <c r="D5" s="34">
        <v>1829861400</v>
      </c>
      <c r="E5" s="35">
        <v>23585</v>
      </c>
      <c r="F5" s="77">
        <v>-591140560</v>
      </c>
      <c r="G5" s="76">
        <v>-0.2442</v>
      </c>
    </row>
    <row r="6" spans="1:11" ht="17.25" customHeight="1">
      <c r="A6" s="32">
        <v>45717</v>
      </c>
      <c r="B6" s="356"/>
      <c r="C6" s="33">
        <v>86982</v>
      </c>
      <c r="D6" s="34">
        <v>2051386104</v>
      </c>
      <c r="E6" s="35">
        <v>23584</v>
      </c>
      <c r="F6" s="36">
        <v>221524704</v>
      </c>
      <c r="G6" s="37">
        <v>0.1211</v>
      </c>
    </row>
    <row r="7" spans="1:11" ht="17.25" customHeight="1">
      <c r="A7" s="32">
        <v>45748</v>
      </c>
      <c r="B7" s="356"/>
      <c r="C7" s="33">
        <v>77174</v>
      </c>
      <c r="D7" s="34">
        <v>1821101080</v>
      </c>
      <c r="E7" s="35">
        <v>23597</v>
      </c>
      <c r="F7" s="77">
        <v>-230285024</v>
      </c>
      <c r="G7" s="76">
        <v>-0.1123</v>
      </c>
    </row>
    <row r="8" spans="1:11" ht="17.25" customHeight="1">
      <c r="A8" s="32">
        <v>45778</v>
      </c>
      <c r="B8" s="356"/>
      <c r="C8" s="63">
        <v>74131</v>
      </c>
      <c r="D8" s="34">
        <v>1749491600</v>
      </c>
      <c r="E8" s="35">
        <v>23600</v>
      </c>
      <c r="F8" s="36">
        <v>-71609480</v>
      </c>
      <c r="G8" s="76">
        <v>3.9300000000000002E-2</v>
      </c>
    </row>
    <row r="9" spans="1:11" ht="17.25" customHeight="1">
      <c r="A9" s="32">
        <v>45809</v>
      </c>
      <c r="B9" s="356"/>
      <c r="C9" s="63">
        <v>82469</v>
      </c>
      <c r="D9" s="34">
        <v>1946268400</v>
      </c>
      <c r="E9" s="35">
        <v>23600</v>
      </c>
      <c r="F9" s="36">
        <v>196776800</v>
      </c>
      <c r="G9" s="37">
        <v>0.1125</v>
      </c>
    </row>
    <row r="10" spans="1:11" ht="17.25" customHeight="1">
      <c r="A10" s="32">
        <v>45839</v>
      </c>
      <c r="B10" s="356"/>
      <c r="C10" s="33">
        <v>90596</v>
      </c>
      <c r="D10" s="34">
        <v>2138065600</v>
      </c>
      <c r="E10" s="35">
        <v>23600</v>
      </c>
      <c r="F10" s="36">
        <v>191797200</v>
      </c>
      <c r="G10" s="307" t="s">
        <v>138</v>
      </c>
    </row>
    <row r="11" spans="1:11" ht="17.25" customHeight="1">
      <c r="A11" s="32">
        <v>45870</v>
      </c>
      <c r="B11" s="356"/>
      <c r="C11" s="63">
        <v>93208</v>
      </c>
      <c r="D11" s="343">
        <v>2199708800</v>
      </c>
      <c r="E11" s="35">
        <f t="shared" ref="E11" si="0">+(D11/C11)</f>
        <v>23600</v>
      </c>
      <c r="F11" s="36">
        <f>D11-D10</f>
        <v>61643200</v>
      </c>
      <c r="G11" s="174">
        <f>1-(D10/D11)</f>
        <v>2.8023345635567742E-2</v>
      </c>
    </row>
    <row r="12" spans="1:11" ht="17.25" customHeight="1">
      <c r="A12" s="32">
        <v>45901</v>
      </c>
      <c r="B12" s="356"/>
      <c r="C12" s="33">
        <v>88352</v>
      </c>
      <c r="D12" s="344">
        <v>2085107200</v>
      </c>
      <c r="E12" s="35">
        <f>+(D12/C12)</f>
        <v>23600</v>
      </c>
      <c r="F12" s="36">
        <f t="shared" ref="F12:F13" si="1">D12-D11</f>
        <v>-114601600</v>
      </c>
      <c r="G12" s="174">
        <f t="shared" ref="G12:G13" si="2">1-(D11/D12)</f>
        <v>-5.496197030061567E-2</v>
      </c>
    </row>
    <row r="13" spans="1:11" ht="17.25" customHeight="1">
      <c r="A13" s="32">
        <v>45931</v>
      </c>
      <c r="B13" s="356"/>
      <c r="C13" s="33">
        <v>96161</v>
      </c>
      <c r="D13" s="344">
        <v>2269399600</v>
      </c>
      <c r="E13" s="35">
        <f>+(D13/C13)</f>
        <v>23600</v>
      </c>
      <c r="F13" s="36">
        <f t="shared" si="1"/>
        <v>184292400</v>
      </c>
      <c r="G13" s="174">
        <f t="shared" si="2"/>
        <v>8.120755815767311E-2</v>
      </c>
    </row>
    <row r="14" spans="1:11" ht="17.25" customHeight="1">
      <c r="A14" s="32">
        <v>45962</v>
      </c>
      <c r="B14" s="356"/>
      <c r="C14" s="33"/>
      <c r="D14" s="34"/>
      <c r="E14" s="35"/>
      <c r="F14" s="36"/>
      <c r="G14" s="76"/>
      <c r="K14" s="303"/>
    </row>
    <row r="15" spans="1:11" ht="17.25" customHeight="1" thickBot="1">
      <c r="A15" s="276">
        <v>45992</v>
      </c>
      <c r="B15" s="357"/>
      <c r="C15" s="38"/>
      <c r="D15" s="159"/>
      <c r="E15" s="39"/>
      <c r="F15" s="40"/>
      <c r="G15" s="277"/>
      <c r="K15" s="303"/>
    </row>
    <row r="16" spans="1:11" ht="15.75" thickBot="1">
      <c r="A16" s="272"/>
      <c r="B16" s="273" t="s">
        <v>6</v>
      </c>
      <c r="C16" s="274">
        <f>SUM(C4:C15)</f>
        <v>874393</v>
      </c>
      <c r="D16" s="275">
        <f>SUM(D4:D15)</f>
        <v>20511391744</v>
      </c>
      <c r="E16" s="160"/>
      <c r="F16" s="160"/>
      <c r="G16" s="160"/>
    </row>
    <row r="18" spans="1:10" ht="15.75" thickBot="1"/>
    <row r="19" spans="1:10" ht="18">
      <c r="A19" s="358" t="s">
        <v>112</v>
      </c>
      <c r="B19" s="359"/>
      <c r="C19" s="359"/>
      <c r="D19" s="359"/>
      <c r="E19" s="359"/>
      <c r="F19" s="359"/>
      <c r="G19" s="360"/>
    </row>
    <row r="20" spans="1:10" ht="24">
      <c r="A20" s="278" t="s">
        <v>48</v>
      </c>
      <c r="B20" s="279" t="s">
        <v>62</v>
      </c>
      <c r="C20" s="279" t="s">
        <v>63</v>
      </c>
      <c r="D20" s="279" t="s">
        <v>64</v>
      </c>
      <c r="E20" s="280" t="s">
        <v>69</v>
      </c>
      <c r="F20" s="281" t="s">
        <v>66</v>
      </c>
      <c r="G20" s="282" t="s">
        <v>67</v>
      </c>
    </row>
    <row r="21" spans="1:10" ht="15" customHeight="1">
      <c r="A21" s="32">
        <v>45658</v>
      </c>
      <c r="B21" s="355" t="s">
        <v>70</v>
      </c>
      <c r="C21" s="33">
        <v>34017</v>
      </c>
      <c r="D21" s="34">
        <v>7574995374</v>
      </c>
      <c r="E21" s="35">
        <v>4545</v>
      </c>
      <c r="F21" s="36">
        <v>3879430600</v>
      </c>
      <c r="G21" s="37">
        <v>1.0498000000000001</v>
      </c>
      <c r="J21" s="267"/>
    </row>
    <row r="22" spans="1:10">
      <c r="A22" s="32">
        <v>45689</v>
      </c>
      <c r="B22" s="356"/>
      <c r="C22" s="33">
        <v>19863</v>
      </c>
      <c r="D22" s="34">
        <v>4332103785</v>
      </c>
      <c r="E22" s="35">
        <v>4451</v>
      </c>
      <c r="F22" s="77">
        <v>-3242891589</v>
      </c>
      <c r="G22" s="76">
        <v>-0.42809999999999998</v>
      </c>
    </row>
    <row r="23" spans="1:10">
      <c r="A23" s="32">
        <v>45717</v>
      </c>
      <c r="B23" s="356"/>
      <c r="C23" s="33">
        <v>20766</v>
      </c>
      <c r="D23" s="34">
        <v>4449581100</v>
      </c>
      <c r="E23" s="35">
        <v>4373</v>
      </c>
      <c r="F23" s="36">
        <v>117477315</v>
      </c>
      <c r="G23" s="37">
        <v>2.7099999999999999E-2</v>
      </c>
    </row>
    <row r="24" spans="1:10">
      <c r="A24" s="32">
        <v>45748</v>
      </c>
      <c r="B24" s="356"/>
      <c r="C24" s="33">
        <v>20278</v>
      </c>
      <c r="D24" s="34">
        <v>4472434647</v>
      </c>
      <c r="E24" s="35">
        <v>4501</v>
      </c>
      <c r="F24" s="77">
        <v>22853547</v>
      </c>
      <c r="G24" s="76">
        <v>5.1000000000000004E-3</v>
      </c>
    </row>
    <row r="25" spans="1:10">
      <c r="A25" s="32">
        <v>45778</v>
      </c>
      <c r="B25" s="356"/>
      <c r="C25" s="33">
        <v>21247</v>
      </c>
      <c r="D25" s="34">
        <v>4655700589</v>
      </c>
      <c r="E25" s="35">
        <v>4471.8923958532441</v>
      </c>
      <c r="F25" s="36">
        <v>183265942</v>
      </c>
      <c r="G25" s="37">
        <v>4.0976773606503203E-2</v>
      </c>
    </row>
    <row r="26" spans="1:10">
      <c r="A26" s="32">
        <v>45809</v>
      </c>
      <c r="B26" s="356"/>
      <c r="C26" s="33">
        <v>24010</v>
      </c>
      <c r="D26" s="34">
        <v>5163682135</v>
      </c>
      <c r="E26" s="35">
        <v>4389.0573953029771</v>
      </c>
      <c r="F26" s="36">
        <v>507981546</v>
      </c>
      <c r="G26" s="37">
        <v>0.10910958217549593</v>
      </c>
    </row>
    <row r="27" spans="1:10">
      <c r="A27" s="32">
        <v>45839</v>
      </c>
      <c r="B27" s="356"/>
      <c r="C27" s="33">
        <v>24349</v>
      </c>
      <c r="D27" s="34">
        <v>5119805758</v>
      </c>
      <c r="E27" s="35">
        <v>4291</v>
      </c>
      <c r="F27" s="36">
        <v>-43876377</v>
      </c>
      <c r="G27" s="76">
        <v>-8.5000000000000006E-3</v>
      </c>
    </row>
    <row r="28" spans="1:10">
      <c r="A28" s="32">
        <v>45870</v>
      </c>
      <c r="B28" s="356"/>
      <c r="C28" s="33">
        <v>26762</v>
      </c>
      <c r="D28" s="34">
        <v>5656952560</v>
      </c>
      <c r="E28" s="35">
        <f t="shared" ref="E28:E30" si="3">+(D28/C28)/49</f>
        <v>4313.8783136003076</v>
      </c>
      <c r="F28" s="36">
        <f>D28-D27</f>
        <v>537146802</v>
      </c>
      <c r="G28" s="174">
        <f>1-(D27/D28)</f>
        <v>9.495338635118411E-2</v>
      </c>
    </row>
    <row r="29" spans="1:10">
      <c r="A29" s="32">
        <v>45901</v>
      </c>
      <c r="B29" s="356"/>
      <c r="C29" s="33">
        <v>22528</v>
      </c>
      <c r="D29" s="342">
        <v>4660895736</v>
      </c>
      <c r="E29" s="35">
        <f t="shared" si="3"/>
        <v>4222.3153916396104</v>
      </c>
      <c r="F29" s="36">
        <f>D29-D28</f>
        <v>-996056824</v>
      </c>
      <c r="G29" s="174">
        <f t="shared" ref="G29:G30" si="4">1-(D28/D29)</f>
        <v>-0.21370502161346772</v>
      </c>
    </row>
    <row r="30" spans="1:10">
      <c r="A30" s="32">
        <v>45931</v>
      </c>
      <c r="B30" s="356"/>
      <c r="C30" s="33">
        <v>22587</v>
      </c>
      <c r="D30" s="342">
        <v>4587879007</v>
      </c>
      <c r="E30" s="35">
        <f t="shared" si="3"/>
        <v>4145.3129595044284</v>
      </c>
      <c r="F30" s="36">
        <f t="shared" ref="F30" si="5">D30-D29</f>
        <v>-73016729</v>
      </c>
      <c r="G30" s="174">
        <f t="shared" si="4"/>
        <v>-1.5915138321781042E-2</v>
      </c>
    </row>
    <row r="31" spans="1:10">
      <c r="A31" s="32">
        <v>45962</v>
      </c>
      <c r="B31" s="356"/>
      <c r="C31" s="33"/>
      <c r="D31" s="34"/>
      <c r="E31" s="35"/>
      <c r="F31" s="36"/>
      <c r="G31" s="76"/>
    </row>
    <row r="32" spans="1:10" ht="15.75" thickBot="1">
      <c r="A32" s="276">
        <v>45992</v>
      </c>
      <c r="B32" s="357"/>
      <c r="C32" s="38"/>
      <c r="D32" s="159"/>
      <c r="E32" s="39"/>
      <c r="F32" s="40"/>
      <c r="G32" s="277"/>
    </row>
    <row r="33" spans="1:7" ht="15.75" thickBot="1">
      <c r="A33" s="272"/>
      <c r="B33" s="273" t="s">
        <v>6</v>
      </c>
      <c r="C33" s="274">
        <f>SUM(C21:C32)</f>
        <v>236407</v>
      </c>
      <c r="D33" s="275">
        <f>SUM(D21:D32)</f>
        <v>50674030691</v>
      </c>
      <c r="E33" s="160"/>
      <c r="F33" s="160"/>
      <c r="G33" s="160"/>
    </row>
  </sheetData>
  <mergeCells count="4">
    <mergeCell ref="A2:G2"/>
    <mergeCell ref="B4:B15"/>
    <mergeCell ref="A19:G19"/>
    <mergeCell ref="B21:B32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M62"/>
  <sheetViews>
    <sheetView topLeftCell="H45" workbookViewId="0">
      <selection activeCell="K58" sqref="K58"/>
    </sheetView>
  </sheetViews>
  <sheetFormatPr baseColWidth="10" defaultRowHeight="15"/>
  <cols>
    <col min="2" max="2" width="29.140625" bestFit="1" customWidth="1"/>
    <col min="4" max="4" width="20.85546875" customWidth="1"/>
    <col min="5" max="5" width="16.140625" customWidth="1"/>
    <col min="7" max="7" width="47" customWidth="1"/>
    <col min="9" max="9" width="32" customWidth="1"/>
    <col min="10" max="10" width="17.5703125" customWidth="1"/>
    <col min="11" max="11" width="17.140625" customWidth="1"/>
    <col min="12" max="12" width="16.85546875" bestFit="1" customWidth="1"/>
  </cols>
  <sheetData>
    <row r="1" spans="2:13" ht="15.75" thickBot="1"/>
    <row r="2" spans="2:13">
      <c r="B2" s="161">
        <v>45292</v>
      </c>
      <c r="C2" s="89" t="s">
        <v>71</v>
      </c>
      <c r="D2" s="89" t="s">
        <v>72</v>
      </c>
      <c r="E2" s="89" t="s">
        <v>73</v>
      </c>
      <c r="F2" s="90" t="s">
        <v>74</v>
      </c>
      <c r="I2" s="161">
        <v>45658</v>
      </c>
      <c r="J2" s="89" t="s">
        <v>71</v>
      </c>
      <c r="K2" s="89" t="s">
        <v>72</v>
      </c>
      <c r="L2" s="89" t="s">
        <v>73</v>
      </c>
      <c r="M2" s="90" t="s">
        <v>74</v>
      </c>
    </row>
    <row r="3" spans="2:13">
      <c r="B3" s="91" t="s">
        <v>75</v>
      </c>
      <c r="C3" s="162">
        <v>92083</v>
      </c>
      <c r="D3" s="163">
        <v>1902164300</v>
      </c>
      <c r="E3" s="41">
        <v>5791300</v>
      </c>
      <c r="F3" s="42">
        <v>3.0999999999999999E-3</v>
      </c>
      <c r="I3" s="91" t="s">
        <v>75</v>
      </c>
      <c r="J3" s="162">
        <v>107735</v>
      </c>
      <c r="K3" s="238">
        <v>2421001960</v>
      </c>
      <c r="L3" s="41">
        <v>555895528</v>
      </c>
      <c r="M3" s="42">
        <v>0.29809999999999998</v>
      </c>
    </row>
    <row r="4" spans="2:13">
      <c r="B4" s="91" t="s">
        <v>76</v>
      </c>
      <c r="C4" s="162">
        <v>27742</v>
      </c>
      <c r="D4" s="163">
        <v>5291440013.0699997</v>
      </c>
      <c r="E4" s="41">
        <v>1647147814</v>
      </c>
      <c r="F4" s="43">
        <v>0.45200000000000001</v>
      </c>
      <c r="I4" s="91" t="s">
        <v>76</v>
      </c>
      <c r="J4" s="162">
        <v>34017</v>
      </c>
      <c r="K4" s="238">
        <v>7574995374</v>
      </c>
      <c r="L4" s="41">
        <v>3879430600</v>
      </c>
      <c r="M4" s="43">
        <v>1.0498000000000001</v>
      </c>
    </row>
    <row r="5" spans="2:13" ht="15.75" thickBot="1">
      <c r="B5" s="164" t="s">
        <v>6</v>
      </c>
      <c r="C5" s="165">
        <f>C3+C4</f>
        <v>119825</v>
      </c>
      <c r="D5" s="166">
        <f>D3+D4</f>
        <v>7193604313.0699997</v>
      </c>
      <c r="E5" s="167">
        <f>E3+E4</f>
        <v>1652939114</v>
      </c>
      <c r="F5" s="44"/>
      <c r="I5" s="164" t="s">
        <v>6</v>
      </c>
      <c r="J5" s="165">
        <f>J3+J4</f>
        <v>141752</v>
      </c>
      <c r="K5" s="166">
        <f>K3+K4</f>
        <v>9995997334</v>
      </c>
      <c r="L5" s="167">
        <f>L3+L4</f>
        <v>4435326128</v>
      </c>
      <c r="M5" s="44"/>
    </row>
    <row r="6" spans="2:13" ht="15.75" thickBot="1"/>
    <row r="7" spans="2:13">
      <c r="B7" s="161">
        <v>45323</v>
      </c>
      <c r="C7" s="89" t="s">
        <v>71</v>
      </c>
      <c r="D7" s="89" t="s">
        <v>72</v>
      </c>
      <c r="E7" s="89" t="s">
        <v>73</v>
      </c>
      <c r="F7" s="90" t="s">
        <v>74</v>
      </c>
      <c r="I7" s="161">
        <v>45689</v>
      </c>
      <c r="J7" s="89" t="s">
        <v>71</v>
      </c>
      <c r="K7" s="89" t="s">
        <v>72</v>
      </c>
      <c r="L7" s="89" t="s">
        <v>73</v>
      </c>
      <c r="M7" s="90" t="s">
        <v>74</v>
      </c>
    </row>
    <row r="8" spans="2:13">
      <c r="B8" s="91" t="s">
        <v>75</v>
      </c>
      <c r="C8" s="162">
        <v>82698</v>
      </c>
      <c r="D8" s="163">
        <v>1852414300</v>
      </c>
      <c r="E8" s="168">
        <v>-49750000</v>
      </c>
      <c r="F8" s="169">
        <v>-2.6200000000000001E-2</v>
      </c>
      <c r="I8" s="91" t="s">
        <v>75</v>
      </c>
      <c r="J8" s="162">
        <v>77585</v>
      </c>
      <c r="K8" s="238">
        <v>1829861400</v>
      </c>
      <c r="L8" s="336">
        <v>-591140560</v>
      </c>
      <c r="M8" s="169">
        <v>-0.2442</v>
      </c>
    </row>
    <row r="9" spans="2:13">
      <c r="B9" s="91" t="s">
        <v>76</v>
      </c>
      <c r="C9" s="162">
        <v>18352</v>
      </c>
      <c r="D9" s="163">
        <v>3676193498</v>
      </c>
      <c r="E9" s="168">
        <v>-1615246515</v>
      </c>
      <c r="F9" s="170">
        <v>-0.30530000000000002</v>
      </c>
      <c r="I9" s="91" t="s">
        <v>76</v>
      </c>
      <c r="J9" s="162">
        <v>19863</v>
      </c>
      <c r="K9" s="238">
        <v>4332103785</v>
      </c>
      <c r="L9" s="336">
        <v>-3242891589</v>
      </c>
      <c r="M9" s="170">
        <v>-0.42809999999999998</v>
      </c>
    </row>
    <row r="10" spans="2:13" ht="15.75" thickBot="1">
      <c r="B10" s="164" t="s">
        <v>6</v>
      </c>
      <c r="C10" s="165">
        <f>C8+C9</f>
        <v>101050</v>
      </c>
      <c r="D10" s="166">
        <f>D8+D9</f>
        <v>5528607798</v>
      </c>
      <c r="E10" s="171">
        <f>E8+E9</f>
        <v>-1664996515</v>
      </c>
      <c r="F10" s="44"/>
      <c r="I10" s="164" t="s">
        <v>6</v>
      </c>
      <c r="J10" s="165">
        <f>J8+J9</f>
        <v>97448</v>
      </c>
      <c r="K10" s="166">
        <f>K8+K9</f>
        <v>6161965185</v>
      </c>
      <c r="L10" s="337">
        <f>L8+L9</f>
        <v>-3834032149</v>
      </c>
      <c r="M10" s="241"/>
    </row>
    <row r="11" spans="2:13" ht="15.75" thickBot="1"/>
    <row r="12" spans="2:13">
      <c r="B12" s="161">
        <v>45352</v>
      </c>
      <c r="C12" s="89" t="s">
        <v>71</v>
      </c>
      <c r="D12" s="89" t="s">
        <v>72</v>
      </c>
      <c r="E12" s="89" t="s">
        <v>73</v>
      </c>
      <c r="F12" s="90" t="s">
        <v>74</v>
      </c>
      <c r="I12" s="161">
        <v>45717</v>
      </c>
      <c r="J12" s="89" t="s">
        <v>71</v>
      </c>
      <c r="K12" s="89" t="s">
        <v>72</v>
      </c>
      <c r="L12" s="89" t="s">
        <v>73</v>
      </c>
      <c r="M12" s="90" t="s">
        <v>74</v>
      </c>
    </row>
    <row r="13" spans="2:13">
      <c r="B13" s="91" t="s">
        <v>75</v>
      </c>
      <c r="C13" s="162">
        <v>89478</v>
      </c>
      <c r="D13" s="163">
        <v>2004299600</v>
      </c>
      <c r="E13" s="41">
        <v>151885300</v>
      </c>
      <c r="F13" s="42">
        <v>8.2000000000000003E-2</v>
      </c>
      <c r="I13" s="91" t="s">
        <v>75</v>
      </c>
      <c r="J13" s="162">
        <v>86982</v>
      </c>
      <c r="K13" s="238">
        <v>2051386104</v>
      </c>
      <c r="L13" s="189">
        <v>221524704</v>
      </c>
      <c r="M13" s="190">
        <v>0.1211</v>
      </c>
    </row>
    <row r="14" spans="2:13">
      <c r="B14" s="91" t="s">
        <v>76</v>
      </c>
      <c r="C14" s="162">
        <v>19287</v>
      </c>
      <c r="D14" s="163">
        <v>3848283046</v>
      </c>
      <c r="E14" s="41">
        <v>172089548</v>
      </c>
      <c r="F14" s="43">
        <v>4.6800000000000001E-2</v>
      </c>
      <c r="I14" s="91" t="s">
        <v>76</v>
      </c>
      <c r="J14" s="162">
        <v>20766</v>
      </c>
      <c r="K14" s="238">
        <v>4449581100</v>
      </c>
      <c r="L14" s="189">
        <v>117477315</v>
      </c>
      <c r="M14" s="249">
        <v>2.7099999999999999E-2</v>
      </c>
    </row>
    <row r="15" spans="2:13" ht="15.75" thickBot="1">
      <c r="B15" s="164" t="s">
        <v>6</v>
      </c>
      <c r="C15" s="165">
        <f>C13+C14</f>
        <v>108765</v>
      </c>
      <c r="D15" s="166">
        <f>D13+D14</f>
        <v>5852582646</v>
      </c>
      <c r="E15" s="167">
        <f>E13+E14</f>
        <v>323974848</v>
      </c>
      <c r="F15" s="44"/>
      <c r="I15" s="164" t="s">
        <v>6</v>
      </c>
      <c r="J15" s="165">
        <f>J13+J14</f>
        <v>107748</v>
      </c>
      <c r="K15" s="166">
        <f>K13+K14</f>
        <v>6500967204</v>
      </c>
      <c r="L15" s="250">
        <f>L13+L14</f>
        <v>339002019</v>
      </c>
      <c r="M15" s="241"/>
    </row>
    <row r="16" spans="2:13" ht="15.75" thickBot="1">
      <c r="K16" s="238"/>
    </row>
    <row r="17" spans="2:13">
      <c r="B17" s="161">
        <v>45383</v>
      </c>
      <c r="C17" s="89" t="s">
        <v>71</v>
      </c>
      <c r="D17" s="89" t="s">
        <v>72</v>
      </c>
      <c r="E17" s="89" t="s">
        <v>73</v>
      </c>
      <c r="F17" s="90" t="s">
        <v>74</v>
      </c>
      <c r="I17" s="161">
        <v>45748</v>
      </c>
      <c r="J17" s="89" t="s">
        <v>71</v>
      </c>
      <c r="K17" s="89" t="s">
        <v>72</v>
      </c>
      <c r="L17" s="89" t="s">
        <v>73</v>
      </c>
      <c r="M17" s="90" t="s">
        <v>74</v>
      </c>
    </row>
    <row r="18" spans="2:13">
      <c r="B18" s="91" t="s">
        <v>75</v>
      </c>
      <c r="C18" s="162">
        <v>91810</v>
      </c>
      <c r="D18" s="163">
        <v>2056544000</v>
      </c>
      <c r="E18" s="41">
        <v>52244400</v>
      </c>
      <c r="F18" s="42">
        <v>2.6100000000000002E-2</v>
      </c>
      <c r="I18" s="91" t="s">
        <v>75</v>
      </c>
      <c r="J18" s="162">
        <v>77174</v>
      </c>
      <c r="K18" s="238">
        <v>1821101080</v>
      </c>
      <c r="L18" s="338">
        <v>-230285024</v>
      </c>
      <c r="M18" s="190">
        <v>-0.1123</v>
      </c>
    </row>
    <row r="19" spans="2:13">
      <c r="B19" s="91" t="s">
        <v>76</v>
      </c>
      <c r="C19" s="162">
        <v>17131</v>
      </c>
      <c r="D19" s="163">
        <v>3369520991</v>
      </c>
      <c r="E19" s="168">
        <v>-478762055</v>
      </c>
      <c r="F19" s="170">
        <v>-0.1244</v>
      </c>
      <c r="I19" s="91" t="s">
        <v>76</v>
      </c>
      <c r="J19" s="162">
        <v>20278</v>
      </c>
      <c r="K19" s="238">
        <v>4472434647</v>
      </c>
      <c r="L19" s="338">
        <v>22853547</v>
      </c>
      <c r="M19" s="249">
        <v>5.1000000000000004E-3</v>
      </c>
    </row>
    <row r="20" spans="2:13" ht="15.75" thickBot="1">
      <c r="B20" s="164" t="s">
        <v>6</v>
      </c>
      <c r="C20" s="165">
        <f>C18+C19</f>
        <v>108941</v>
      </c>
      <c r="D20" s="166">
        <f>D18+D19</f>
        <v>5426064991</v>
      </c>
      <c r="E20" s="171">
        <f>E18+E19</f>
        <v>-426517655</v>
      </c>
      <c r="F20" s="44"/>
      <c r="I20" s="164" t="s">
        <v>6</v>
      </c>
      <c r="J20" s="165">
        <f>J18+J19</f>
        <v>97452</v>
      </c>
      <c r="K20" s="166">
        <f>K18+K19</f>
        <v>6293535727</v>
      </c>
      <c r="L20" s="339">
        <f>L18+L19</f>
        <v>-207431477</v>
      </c>
      <c r="M20" s="241"/>
    </row>
    <row r="21" spans="2:13" ht="15.75" thickBot="1"/>
    <row r="22" spans="2:13">
      <c r="B22" s="161">
        <v>45413</v>
      </c>
      <c r="C22" s="89" t="s">
        <v>71</v>
      </c>
      <c r="D22" s="89" t="s">
        <v>72</v>
      </c>
      <c r="E22" s="89" t="s">
        <v>73</v>
      </c>
      <c r="F22" s="90" t="s">
        <v>74</v>
      </c>
      <c r="I22" s="161">
        <v>45778</v>
      </c>
      <c r="J22" s="89" t="s">
        <v>71</v>
      </c>
      <c r="K22" s="89" t="s">
        <v>72</v>
      </c>
      <c r="L22" s="89" t="s">
        <v>73</v>
      </c>
      <c r="M22" s="90" t="s">
        <v>74</v>
      </c>
    </row>
    <row r="23" spans="2:13">
      <c r="B23" s="91" t="s">
        <v>75</v>
      </c>
      <c r="C23" s="162">
        <v>101432</v>
      </c>
      <c r="D23" s="163">
        <v>2272076800</v>
      </c>
      <c r="E23" s="41">
        <v>215532800</v>
      </c>
      <c r="F23" s="42">
        <v>0.1048</v>
      </c>
      <c r="I23" s="91" t="s">
        <v>75</v>
      </c>
      <c r="J23" s="162">
        <v>74131</v>
      </c>
      <c r="K23" s="34">
        <v>1749491600</v>
      </c>
      <c r="L23" s="340">
        <v>-71609480</v>
      </c>
      <c r="M23" s="305">
        <v>-3.9300000000000002E-2</v>
      </c>
    </row>
    <row r="24" spans="2:13">
      <c r="B24" s="91" t="s">
        <v>76</v>
      </c>
      <c r="C24" s="162">
        <v>18951</v>
      </c>
      <c r="D24" s="163">
        <v>3774153954</v>
      </c>
      <c r="E24" s="41">
        <v>404632963</v>
      </c>
      <c r="F24" s="43">
        <v>0.1201</v>
      </c>
      <c r="I24" s="91" t="s">
        <v>76</v>
      </c>
      <c r="J24" s="162">
        <v>21247</v>
      </c>
      <c r="K24" s="34">
        <v>4655700589</v>
      </c>
      <c r="L24" s="341">
        <v>183265942</v>
      </c>
      <c r="M24" s="304">
        <v>4.1000000000000002E-2</v>
      </c>
    </row>
    <row r="25" spans="2:13" ht="15.75" thickBot="1">
      <c r="B25" s="164" t="s">
        <v>6</v>
      </c>
      <c r="C25" s="165">
        <f>C23+C24</f>
        <v>120383</v>
      </c>
      <c r="D25" s="166">
        <f>D23+D24</f>
        <v>6046230754</v>
      </c>
      <c r="E25" s="167">
        <f>E23+E24</f>
        <v>620165763</v>
      </c>
      <c r="F25" s="44"/>
      <c r="I25" s="164" t="s">
        <v>6</v>
      </c>
      <c r="J25" s="165">
        <f>J23+J24</f>
        <v>95378</v>
      </c>
      <c r="K25" s="166">
        <f>K23+K24</f>
        <v>6405192189</v>
      </c>
      <c r="L25" s="339">
        <f>L23+L24</f>
        <v>111656462</v>
      </c>
      <c r="M25" s="241"/>
    </row>
    <row r="26" spans="2:13" ht="15.75" thickBot="1"/>
    <row r="27" spans="2:13">
      <c r="B27" s="161">
        <v>45444</v>
      </c>
      <c r="C27" s="89" t="s">
        <v>71</v>
      </c>
      <c r="D27" s="89" t="s">
        <v>72</v>
      </c>
      <c r="E27" s="89" t="s">
        <v>73</v>
      </c>
      <c r="F27" s="90" t="s">
        <v>74</v>
      </c>
      <c r="I27" s="161">
        <v>45809</v>
      </c>
      <c r="J27" s="89" t="s">
        <v>71</v>
      </c>
      <c r="K27" s="89" t="s">
        <v>72</v>
      </c>
      <c r="L27" s="89" t="s">
        <v>73</v>
      </c>
      <c r="M27" s="90" t="s">
        <v>74</v>
      </c>
    </row>
    <row r="28" spans="2:13">
      <c r="B28" s="91" t="s">
        <v>75</v>
      </c>
      <c r="C28" s="162">
        <v>102495</v>
      </c>
      <c r="D28" s="163">
        <v>2295102656</v>
      </c>
      <c r="E28" s="41">
        <v>23025856</v>
      </c>
      <c r="F28" s="42">
        <v>1.01E-2</v>
      </c>
      <c r="I28" s="91" t="s">
        <v>75</v>
      </c>
      <c r="J28" s="162">
        <v>82469</v>
      </c>
      <c r="K28" s="34">
        <v>1946268400</v>
      </c>
      <c r="L28" s="306">
        <v>196776800</v>
      </c>
      <c r="M28" s="304">
        <v>0.1125</v>
      </c>
    </row>
    <row r="29" spans="2:13">
      <c r="B29" s="91" t="s">
        <v>76</v>
      </c>
      <c r="C29" s="162">
        <v>21203</v>
      </c>
      <c r="D29" s="163">
        <v>4331742569</v>
      </c>
      <c r="E29" s="41">
        <v>557588615</v>
      </c>
      <c r="F29" s="43">
        <v>0.1477</v>
      </c>
      <c r="I29" s="91" t="s">
        <v>76</v>
      </c>
      <c r="J29" s="162">
        <v>24010</v>
      </c>
      <c r="K29" s="34">
        <v>5163682135</v>
      </c>
      <c r="L29" s="306">
        <v>507981546</v>
      </c>
      <c r="M29" s="304">
        <v>0.1091</v>
      </c>
    </row>
    <row r="30" spans="2:13" ht="15.75" thickBot="1">
      <c r="B30" s="164" t="s">
        <v>6</v>
      </c>
      <c r="C30" s="165">
        <f>C28+C29</f>
        <v>123698</v>
      </c>
      <c r="D30" s="166">
        <f>D28+D29</f>
        <v>6626845225</v>
      </c>
      <c r="E30" s="167">
        <f>E28+E29</f>
        <v>580614471</v>
      </c>
      <c r="F30" s="44"/>
      <c r="I30" s="164" t="s">
        <v>6</v>
      </c>
      <c r="J30" s="165">
        <f>J28+J29</f>
        <v>106479</v>
      </c>
      <c r="K30" s="166">
        <f>K28+K29</f>
        <v>7109950535</v>
      </c>
      <c r="L30" s="271">
        <f>L28+L29</f>
        <v>704758346</v>
      </c>
      <c r="M30" s="241"/>
    </row>
    <row r="31" spans="2:13" ht="15.75" thickBot="1"/>
    <row r="32" spans="2:13">
      <c r="B32" s="161">
        <v>45474</v>
      </c>
      <c r="C32" s="89" t="s">
        <v>71</v>
      </c>
      <c r="D32" s="89" t="s">
        <v>72</v>
      </c>
      <c r="E32" s="89" t="s">
        <v>73</v>
      </c>
      <c r="F32" s="90" t="s">
        <v>74</v>
      </c>
      <c r="I32" s="161">
        <v>45839</v>
      </c>
      <c r="J32" s="89" t="s">
        <v>71</v>
      </c>
      <c r="K32" s="89" t="s">
        <v>72</v>
      </c>
      <c r="L32" s="89" t="s">
        <v>73</v>
      </c>
      <c r="M32" s="90" t="s">
        <v>74</v>
      </c>
    </row>
    <row r="33" spans="2:13">
      <c r="B33" s="91" t="s">
        <v>75</v>
      </c>
      <c r="C33" s="162">
        <v>104200</v>
      </c>
      <c r="D33" s="163">
        <v>2331298368</v>
      </c>
      <c r="E33" s="41">
        <v>36195712</v>
      </c>
      <c r="F33" s="42">
        <v>1.5800000000000002E-2</v>
      </c>
      <c r="I33" s="91" t="s">
        <v>75</v>
      </c>
      <c r="J33" s="162">
        <v>90596</v>
      </c>
      <c r="K33" s="34">
        <v>2138065600</v>
      </c>
      <c r="L33" s="306">
        <v>191797200</v>
      </c>
      <c r="M33" s="308" t="s">
        <v>138</v>
      </c>
    </row>
    <row r="34" spans="2:13">
      <c r="B34" s="91" t="s">
        <v>76</v>
      </c>
      <c r="C34" s="162">
        <v>21906</v>
      </c>
      <c r="D34" s="163">
        <v>4528233319</v>
      </c>
      <c r="E34" s="41">
        <v>196490750</v>
      </c>
      <c r="F34" s="43">
        <v>4.5400000000000003E-2</v>
      </c>
      <c r="I34" s="91" t="s">
        <v>76</v>
      </c>
      <c r="J34" s="162">
        <v>24349</v>
      </c>
      <c r="K34" s="34">
        <v>5119805758</v>
      </c>
      <c r="L34" s="306">
        <v>-43876377</v>
      </c>
      <c r="M34" s="309">
        <v>-8.5000000000000006E-3</v>
      </c>
    </row>
    <row r="35" spans="2:13" ht="15.75" thickBot="1">
      <c r="B35" s="164" t="s">
        <v>6</v>
      </c>
      <c r="C35" s="165">
        <f>C33+C34</f>
        <v>126106</v>
      </c>
      <c r="D35" s="166">
        <f>D33+D34</f>
        <v>6859531687</v>
      </c>
      <c r="E35" s="167">
        <f>E33+E34</f>
        <v>232686462</v>
      </c>
      <c r="F35" s="44"/>
      <c r="I35" s="164" t="s">
        <v>6</v>
      </c>
      <c r="J35" s="165">
        <f>J33+J34</f>
        <v>114945</v>
      </c>
      <c r="K35" s="166">
        <f>K33+K34</f>
        <v>7257871358</v>
      </c>
      <c r="L35" s="271">
        <f>L33+L34</f>
        <v>147920823</v>
      </c>
      <c r="M35" s="241"/>
    </row>
    <row r="36" spans="2:13" ht="15.75" thickBot="1">
      <c r="K36" s="34"/>
      <c r="L36" s="303"/>
    </row>
    <row r="37" spans="2:13">
      <c r="B37" s="161">
        <v>45505</v>
      </c>
      <c r="C37" s="89" t="s">
        <v>71</v>
      </c>
      <c r="D37" s="89" t="s">
        <v>72</v>
      </c>
      <c r="E37" s="89" t="s">
        <v>73</v>
      </c>
      <c r="F37" s="90" t="s">
        <v>74</v>
      </c>
      <c r="I37" s="161">
        <v>45870</v>
      </c>
      <c r="J37" s="89" t="s">
        <v>71</v>
      </c>
      <c r="K37" s="89" t="s">
        <v>72</v>
      </c>
      <c r="L37" s="89" t="s">
        <v>73</v>
      </c>
      <c r="M37" s="90" t="s">
        <v>74</v>
      </c>
    </row>
    <row r="38" spans="2:13">
      <c r="B38" s="91" t="s">
        <v>75</v>
      </c>
      <c r="C38" s="162">
        <v>110873</v>
      </c>
      <c r="D38" s="163">
        <v>2480861376</v>
      </c>
      <c r="E38" s="41">
        <v>149563008</v>
      </c>
      <c r="F38" s="42">
        <v>6.4199999999999993E-2</v>
      </c>
      <c r="I38" s="91" t="s">
        <v>75</v>
      </c>
      <c r="J38" s="162">
        <v>90596</v>
      </c>
      <c r="K38" s="34">
        <v>2138065600</v>
      </c>
      <c r="L38" s="306">
        <v>191797200</v>
      </c>
      <c r="M38" s="308" t="s">
        <v>138</v>
      </c>
    </row>
    <row r="39" spans="2:13">
      <c r="B39" s="91" t="s">
        <v>76</v>
      </c>
      <c r="C39" s="162">
        <v>24256</v>
      </c>
      <c r="D39" s="163">
        <v>4982385528</v>
      </c>
      <c r="E39" s="41">
        <v>454152209</v>
      </c>
      <c r="F39" s="43">
        <v>0.1003</v>
      </c>
      <c r="I39" s="91" t="s">
        <v>76</v>
      </c>
      <c r="J39" s="162">
        <v>24349</v>
      </c>
      <c r="K39" s="34">
        <v>5119805758</v>
      </c>
      <c r="L39" s="306">
        <v>-43876377</v>
      </c>
      <c r="M39" s="309">
        <v>-8.5000000000000006E-3</v>
      </c>
    </row>
    <row r="40" spans="2:13" ht="15.75" thickBot="1">
      <c r="B40" s="164" t="s">
        <v>6</v>
      </c>
      <c r="C40" s="165">
        <f>C38+C39</f>
        <v>135129</v>
      </c>
      <c r="D40" s="166">
        <f>D38+D39</f>
        <v>7463246904</v>
      </c>
      <c r="E40" s="167">
        <f>E38+E39</f>
        <v>603715217</v>
      </c>
      <c r="F40" s="44"/>
      <c r="I40" s="164" t="s">
        <v>6</v>
      </c>
      <c r="J40" s="165">
        <f>J38+J39</f>
        <v>114945</v>
      </c>
      <c r="K40" s="166">
        <f>K38+K39</f>
        <v>7257871358</v>
      </c>
      <c r="L40" s="271">
        <f>L38+L39</f>
        <v>147920823</v>
      </c>
      <c r="M40" s="241"/>
    </row>
    <row r="41" spans="2:13" ht="15.75" thickBot="1"/>
    <row r="42" spans="2:13">
      <c r="B42" s="161">
        <v>45536</v>
      </c>
      <c r="C42" s="89" t="s">
        <v>71</v>
      </c>
      <c r="D42" s="89" t="s">
        <v>72</v>
      </c>
      <c r="E42" s="89" t="s">
        <v>73</v>
      </c>
      <c r="F42" s="90" t="s">
        <v>74</v>
      </c>
      <c r="I42" s="161">
        <v>45901</v>
      </c>
      <c r="J42" s="89" t="s">
        <v>71</v>
      </c>
      <c r="K42" s="89" t="s">
        <v>72</v>
      </c>
      <c r="L42" s="89" t="s">
        <v>73</v>
      </c>
      <c r="M42" s="90" t="s">
        <v>74</v>
      </c>
    </row>
    <row r="43" spans="2:13">
      <c r="B43" s="91" t="s">
        <v>75</v>
      </c>
      <c r="C43" s="162">
        <v>98294</v>
      </c>
      <c r="D43" s="163">
        <v>2199291136</v>
      </c>
      <c r="E43" s="168">
        <v>-281570240</v>
      </c>
      <c r="F43" s="169">
        <v>-0.11349696630530315</v>
      </c>
      <c r="I43" s="91" t="s">
        <v>75</v>
      </c>
      <c r="J43" s="33">
        <v>88352</v>
      </c>
      <c r="K43" s="344">
        <v>2085107200</v>
      </c>
      <c r="L43" s="36">
        <v>-114601600</v>
      </c>
      <c r="M43" s="345">
        <v>-5.5E-2</v>
      </c>
    </row>
    <row r="44" spans="2:13">
      <c r="B44" s="91" t="s">
        <v>76</v>
      </c>
      <c r="C44" s="162">
        <v>20462</v>
      </c>
      <c r="D44" s="163">
        <v>4286474336</v>
      </c>
      <c r="E44" s="168">
        <v>-695911192</v>
      </c>
      <c r="F44" s="170">
        <v>-0.13967429619589244</v>
      </c>
      <c r="I44" s="91" t="s">
        <v>76</v>
      </c>
      <c r="J44" s="33">
        <v>22528</v>
      </c>
      <c r="K44" s="342">
        <v>4660895736</v>
      </c>
      <c r="L44" s="346">
        <v>-996056824</v>
      </c>
      <c r="M44" s="309">
        <v>-0.2137</v>
      </c>
    </row>
    <row r="45" spans="2:13" ht="15.75" thickBot="1">
      <c r="B45" s="164" t="s">
        <v>6</v>
      </c>
      <c r="C45" s="165">
        <f>C43+C44</f>
        <v>118756</v>
      </c>
      <c r="D45" s="166">
        <f>D43+D44</f>
        <v>6485765472</v>
      </c>
      <c r="E45" s="171">
        <f>E43+E44</f>
        <v>-977481432</v>
      </c>
      <c r="F45" s="44"/>
      <c r="I45" s="164" t="s">
        <v>6</v>
      </c>
      <c r="J45" s="165">
        <f>J43+J44</f>
        <v>110880</v>
      </c>
      <c r="K45" s="166">
        <f>K43+K44</f>
        <v>6746002936</v>
      </c>
      <c r="L45" s="271">
        <f>L43+L44</f>
        <v>-1110658424</v>
      </c>
      <c r="M45" s="241"/>
    </row>
    <row r="46" spans="2:13" ht="15.75" thickBot="1"/>
    <row r="47" spans="2:13">
      <c r="B47" s="161">
        <v>45566</v>
      </c>
      <c r="C47" s="89" t="s">
        <v>71</v>
      </c>
      <c r="D47" s="89" t="s">
        <v>72</v>
      </c>
      <c r="E47" s="89" t="s">
        <v>73</v>
      </c>
      <c r="F47" s="90" t="s">
        <v>74</v>
      </c>
      <c r="I47" s="161">
        <v>45931</v>
      </c>
      <c r="J47" s="89" t="s">
        <v>71</v>
      </c>
      <c r="K47" s="89" t="s">
        <v>72</v>
      </c>
      <c r="L47" s="89" t="s">
        <v>73</v>
      </c>
      <c r="M47" s="90" t="s">
        <v>74</v>
      </c>
    </row>
    <row r="48" spans="2:13">
      <c r="B48" s="91" t="s">
        <v>75</v>
      </c>
      <c r="C48" s="162">
        <v>99780</v>
      </c>
      <c r="D48" s="163">
        <v>2232415360</v>
      </c>
      <c r="E48" s="189">
        <v>33124224</v>
      </c>
      <c r="F48" s="190">
        <v>1.5061318375631405E-2</v>
      </c>
      <c r="I48" s="91" t="s">
        <v>75</v>
      </c>
      <c r="J48" s="33">
        <v>96161</v>
      </c>
      <c r="K48" s="344">
        <v>2269399600</v>
      </c>
      <c r="L48" s="306">
        <v>184292400</v>
      </c>
      <c r="M48" s="308">
        <v>8.1199999999999994E-2</v>
      </c>
    </row>
    <row r="49" spans="2:13">
      <c r="B49" s="91" t="s">
        <v>76</v>
      </c>
      <c r="C49" s="162">
        <v>19020</v>
      </c>
      <c r="D49" s="163">
        <v>4060762015</v>
      </c>
      <c r="E49" s="168">
        <v>-225712321</v>
      </c>
      <c r="F49" s="170">
        <v>-5.2656869797248707E-2</v>
      </c>
      <c r="I49" s="91" t="s">
        <v>76</v>
      </c>
      <c r="J49" s="33">
        <v>22587</v>
      </c>
      <c r="K49" s="342">
        <v>4587879001</v>
      </c>
      <c r="L49" s="306">
        <v>-73016729</v>
      </c>
      <c r="M49" s="309">
        <v>-1.5900000000000001E-2</v>
      </c>
    </row>
    <row r="50" spans="2:13" ht="15.75" thickBot="1">
      <c r="B50" s="164" t="s">
        <v>6</v>
      </c>
      <c r="C50" s="165">
        <v>118800</v>
      </c>
      <c r="D50" s="166">
        <v>6293177375</v>
      </c>
      <c r="E50" s="171">
        <v>-192588097</v>
      </c>
      <c r="F50" s="44"/>
      <c r="I50" s="164" t="s">
        <v>6</v>
      </c>
      <c r="J50" s="165">
        <f>J48+J49</f>
        <v>118748</v>
      </c>
      <c r="K50" s="166">
        <f>K48+K49</f>
        <v>6857278601</v>
      </c>
      <c r="L50" s="271">
        <f>L48+L49</f>
        <v>111275671</v>
      </c>
      <c r="M50" s="241"/>
    </row>
    <row r="51" spans="2:13" ht="15.75" thickBot="1"/>
    <row r="52" spans="2:13" ht="15.75" thickBot="1">
      <c r="I52" s="161">
        <v>45962</v>
      </c>
      <c r="J52" s="89" t="s">
        <v>71</v>
      </c>
      <c r="K52" s="89" t="s">
        <v>72</v>
      </c>
      <c r="L52" s="89" t="s">
        <v>73</v>
      </c>
      <c r="M52" s="90" t="s">
        <v>74</v>
      </c>
    </row>
    <row r="53" spans="2:13">
      <c r="B53" s="161">
        <v>45597</v>
      </c>
      <c r="C53" s="89" t="s">
        <v>71</v>
      </c>
      <c r="D53" s="89" t="s">
        <v>72</v>
      </c>
      <c r="E53" s="89" t="s">
        <v>73</v>
      </c>
      <c r="F53" s="90" t="s">
        <v>74</v>
      </c>
      <c r="I53" s="91" t="s">
        <v>75</v>
      </c>
      <c r="J53" s="33"/>
      <c r="K53" s="344"/>
      <c r="L53" s="306"/>
      <c r="M53" s="308">
        <v>8.1199999999999994E-2</v>
      </c>
    </row>
    <row r="54" spans="2:13">
      <c r="B54" s="91" t="s">
        <v>75</v>
      </c>
      <c r="C54" s="162">
        <v>97443</v>
      </c>
      <c r="D54" s="163">
        <v>2180390464</v>
      </c>
      <c r="E54" s="189">
        <v>-52024896</v>
      </c>
      <c r="F54" s="190">
        <v>-2.3300000000000001E-2</v>
      </c>
      <c r="I54" s="91" t="s">
        <v>76</v>
      </c>
      <c r="J54" s="33"/>
      <c r="K54" s="342"/>
      <c r="L54" s="306"/>
      <c r="M54" s="309">
        <v>-1.5900000000000001E-2</v>
      </c>
    </row>
    <row r="55" spans="2:13" ht="15.75" thickBot="1">
      <c r="B55" s="91" t="s">
        <v>76</v>
      </c>
      <c r="C55" s="162">
        <v>17280</v>
      </c>
      <c r="D55" s="163">
        <v>3871009587</v>
      </c>
      <c r="E55" s="168">
        <v>-189752428</v>
      </c>
      <c r="F55" s="170">
        <v>-4.6699999999999998E-2</v>
      </c>
      <c r="I55" s="164" t="s">
        <v>6</v>
      </c>
      <c r="J55" s="165">
        <f>J53+J54</f>
        <v>0</v>
      </c>
      <c r="K55" s="166">
        <f>K53+K54</f>
        <v>0</v>
      </c>
      <c r="L55" s="271">
        <f>L53+L54</f>
        <v>0</v>
      </c>
      <c r="M55" s="241"/>
    </row>
    <row r="56" spans="2:13" ht="15.75" thickBot="1">
      <c r="B56" s="164" t="s">
        <v>6</v>
      </c>
      <c r="C56" s="165">
        <v>114726</v>
      </c>
      <c r="D56" s="166">
        <v>6051400051</v>
      </c>
      <c r="E56" s="171">
        <v>-241777324</v>
      </c>
      <c r="F56" s="44"/>
      <c r="I56" s="45"/>
      <c r="J56" s="221"/>
      <c r="K56" s="222"/>
      <c r="L56" s="223"/>
      <c r="M56" s="224"/>
    </row>
    <row r="57" spans="2:13">
      <c r="I57" s="161">
        <v>45992</v>
      </c>
      <c r="J57" s="89" t="s">
        <v>71</v>
      </c>
      <c r="K57" s="89" t="s">
        <v>72</v>
      </c>
      <c r="L57" s="89" t="s">
        <v>73</v>
      </c>
      <c r="M57" s="90" t="s">
        <v>74</v>
      </c>
    </row>
    <row r="58" spans="2:13" ht="15.75" thickBot="1">
      <c r="I58" s="91" t="s">
        <v>75</v>
      </c>
      <c r="J58" s="33"/>
      <c r="K58" s="344"/>
      <c r="L58" s="306"/>
      <c r="M58" s="308">
        <v>8.1199999999999994E-2</v>
      </c>
    </row>
    <row r="59" spans="2:13">
      <c r="B59" s="161">
        <v>45627</v>
      </c>
      <c r="C59" s="89" t="s">
        <v>71</v>
      </c>
      <c r="D59" s="89" t="s">
        <v>72</v>
      </c>
      <c r="E59" s="89" t="s">
        <v>73</v>
      </c>
      <c r="F59" s="90" t="s">
        <v>74</v>
      </c>
      <c r="I59" s="91" t="s">
        <v>76</v>
      </c>
      <c r="J59" s="33"/>
      <c r="K59" s="342"/>
      <c r="L59" s="306"/>
      <c r="M59" s="309">
        <v>-1.5900000000000001E-2</v>
      </c>
    </row>
    <row r="60" spans="2:13" ht="15.75" thickBot="1">
      <c r="B60" s="91" t="s">
        <v>75</v>
      </c>
      <c r="C60" s="162">
        <v>83328</v>
      </c>
      <c r="D60" s="163">
        <v>1865130624</v>
      </c>
      <c r="E60" s="168">
        <v>-315284032</v>
      </c>
      <c r="F60" s="170">
        <v>-0.14460000000000001</v>
      </c>
      <c r="I60" s="164" t="s">
        <v>6</v>
      </c>
      <c r="J60" s="165">
        <f>J58+J59</f>
        <v>0</v>
      </c>
      <c r="K60" s="166">
        <f>K58+K59</f>
        <v>0</v>
      </c>
      <c r="L60" s="271">
        <f>L58+L59</f>
        <v>0</v>
      </c>
      <c r="M60" s="241"/>
    </row>
    <row r="61" spans="2:13">
      <c r="B61" s="91" t="s">
        <v>76</v>
      </c>
      <c r="C61" s="162">
        <v>16545</v>
      </c>
      <c r="D61" s="163">
        <v>3695564774</v>
      </c>
      <c r="E61" s="168">
        <v>-175444813</v>
      </c>
      <c r="F61" s="170">
        <v>-4.53E-2</v>
      </c>
      <c r="I61" s="218"/>
      <c r="J61" s="225"/>
      <c r="K61" s="219"/>
      <c r="L61" s="219"/>
      <c r="M61" s="220"/>
    </row>
    <row r="62" spans="2:13" ht="15.75" thickBot="1">
      <c r="B62" s="164" t="s">
        <v>6</v>
      </c>
      <c r="C62" s="165">
        <f>SUM(C60:C61)</f>
        <v>99873</v>
      </c>
      <c r="D62" s="201">
        <f t="shared" ref="D62:E62" si="0">SUM(D60:D61)</f>
        <v>5560695398</v>
      </c>
      <c r="E62" s="168">
        <f t="shared" si="0"/>
        <v>-490728845</v>
      </c>
      <c r="F62" s="44"/>
      <c r="I62" s="45"/>
      <c r="J62" s="221"/>
      <c r="K62" s="222"/>
      <c r="L62" s="223"/>
      <c r="M62" s="22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2</vt:i4>
      </vt:variant>
    </vt:vector>
  </HeadingPairs>
  <TitlesOfParts>
    <vt:vector size="8" baseType="lpstr">
      <vt:lpstr>ESTADISTICAS AEROLINEAS </vt:lpstr>
      <vt:lpstr>DESTINO Y PROCE </vt:lpstr>
      <vt:lpstr>ATRASOS </vt:lpstr>
      <vt:lpstr>CARGA </vt:lpstr>
      <vt:lpstr>TASAS AEROPORTUARIAS</vt:lpstr>
      <vt:lpstr>TASAS MENSUALES </vt:lpstr>
      <vt:lpstr>'ATRASOS '!_Hlk74400455</vt:lpstr>
      <vt:lpstr>'ATRASOS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Martínez</dc:creator>
  <cp:lastModifiedBy>CESAR ECHEVERRI ALVAREZ</cp:lastModifiedBy>
  <dcterms:created xsi:type="dcterms:W3CDTF">2022-06-08T21:52:11Z</dcterms:created>
  <dcterms:modified xsi:type="dcterms:W3CDTF">2025-12-10T20:20:03Z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2025-12-10T15:51:45Z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b375be82-bb09-4a09-bdac-e787dd6cc6a0</vt:lpwstr>
  </property>
  <property fmtid="{D5CDD505-2E9C-101B-9397-08002B2CF9AE}" pid="7" name="MSIP_Label_defa4170-0d19-0005-0004-bc88714345d2_ActionId">
    <vt:lpwstr>657dc658-be6c-433d-be68-aea104dfd0fc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