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4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carlos.sandoval\Desktop\"/>
    </mc:Choice>
  </mc:AlternateContent>
  <xr:revisionPtr revIDLastSave="0" documentId="8_{9CFDCC00-835B-4984-B4CC-EE1B095139FF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6" i="17" l="1"/>
  <c r="I65" i="17"/>
  <c r="I64" i="17"/>
  <c r="I63" i="17"/>
  <c r="I62" i="17"/>
  <c r="H170" i="17"/>
  <c r="E170" i="17"/>
  <c r="G62" i="17"/>
  <c r="F62" i="17"/>
  <c r="C81" i="17"/>
  <c r="D62" i="17"/>
  <c r="E62" i="17"/>
  <c r="G71" i="17"/>
  <c r="C62" i="17"/>
  <c r="C71" i="17" s="1"/>
  <c r="F74" i="19"/>
  <c r="E74" i="19"/>
  <c r="O58" i="18"/>
  <c r="O57" i="18"/>
  <c r="M60" i="18"/>
  <c r="C27" i="18"/>
  <c r="C35" i="18"/>
  <c r="C13" i="18"/>
  <c r="D90" i="19"/>
  <c r="D89" i="19"/>
  <c r="C91" i="19"/>
  <c r="C90" i="19"/>
  <c r="C89" i="19"/>
  <c r="C84" i="19"/>
  <c r="C79" i="19"/>
  <c r="C48" i="19"/>
  <c r="C47" i="19"/>
  <c r="C41" i="19"/>
  <c r="C111" i="19"/>
  <c r="C58" i="11"/>
  <c r="C28" i="11"/>
  <c r="J46" i="17"/>
  <c r="K46" i="17" s="1"/>
  <c r="K51" i="17" s="1"/>
  <c r="M16" i="17"/>
  <c r="D170" i="17"/>
  <c r="E164" i="17"/>
  <c r="D164" i="17"/>
  <c r="J77" i="17"/>
  <c r="C83" i="19"/>
  <c r="C82" i="19"/>
  <c r="C81" i="19"/>
  <c r="C80" i="19"/>
  <c r="C40" i="19"/>
  <c r="C39" i="19"/>
  <c r="C38" i="19"/>
  <c r="C37" i="19"/>
  <c r="C36" i="19"/>
  <c r="E30" i="19"/>
  <c r="L60" i="21"/>
  <c r="K60" i="21"/>
  <c r="J60" i="21"/>
  <c r="L55" i="21"/>
  <c r="K55" i="21"/>
  <c r="J55" i="21"/>
  <c r="H164" i="17"/>
  <c r="F71" i="17"/>
  <c r="D71" i="17"/>
  <c r="J76" i="17"/>
  <c r="H171" i="17"/>
  <c r="G171" i="17"/>
  <c r="G170" i="17"/>
  <c r="H165" i="17"/>
  <c r="G165" i="17"/>
  <c r="G164" i="17"/>
  <c r="J45" i="17"/>
  <c r="K45" i="17" s="1"/>
  <c r="L60" i="18"/>
  <c r="N60" i="18"/>
  <c r="C61" i="18" s="1"/>
  <c r="E158" i="17"/>
  <c r="H158" i="17" s="1"/>
  <c r="D158" i="17"/>
  <c r="G158" i="17" s="1"/>
  <c r="I86" i="17"/>
  <c r="H86" i="17"/>
  <c r="G86" i="17"/>
  <c r="F86" i="17"/>
  <c r="E86" i="17"/>
  <c r="D86" i="17"/>
  <c r="C86" i="17"/>
  <c r="J44" i="17"/>
  <c r="K44" i="17" s="1"/>
  <c r="C29" i="11"/>
  <c r="C20" i="11"/>
  <c r="H159" i="17"/>
  <c r="G159" i="17"/>
  <c r="F29" i="20"/>
  <c r="L45" i="21"/>
  <c r="L50" i="21"/>
  <c r="K50" i="21"/>
  <c r="J50" i="21"/>
  <c r="G12" i="20"/>
  <c r="G13" i="20"/>
  <c r="F12" i="20"/>
  <c r="F13" i="20"/>
  <c r="E13" i="20"/>
  <c r="E12" i="20"/>
  <c r="E11" i="20"/>
  <c r="G29" i="20"/>
  <c r="G30" i="20"/>
  <c r="F30" i="20"/>
  <c r="E30" i="20"/>
  <c r="E29" i="20"/>
  <c r="E28" i="20"/>
  <c r="K45" i="21"/>
  <c r="J45" i="21"/>
  <c r="G11" i="20"/>
  <c r="G28" i="20"/>
  <c r="F28" i="20"/>
  <c r="F11" i="20"/>
  <c r="K60" i="18"/>
  <c r="J60" i="18"/>
  <c r="C43" i="18"/>
  <c r="E152" i="17"/>
  <c r="H153" i="17"/>
  <c r="G153" i="17"/>
  <c r="H152" i="17"/>
  <c r="G152" i="17"/>
  <c r="L40" i="21"/>
  <c r="K40" i="21"/>
  <c r="J40" i="21"/>
  <c r="H146" i="17"/>
  <c r="G146" i="17"/>
  <c r="H145" i="17"/>
  <c r="G145" i="17"/>
  <c r="J51" i="17"/>
  <c r="F51" i="17"/>
  <c r="J43" i="17"/>
  <c r="K43" i="17" s="1"/>
  <c r="J42" i="17"/>
  <c r="K42" i="17" s="1"/>
  <c r="L16" i="17"/>
  <c r="C127" i="19"/>
  <c r="C126" i="19"/>
  <c r="C125" i="19"/>
  <c r="C124" i="19"/>
  <c r="C123" i="19"/>
  <c r="C122" i="19"/>
  <c r="C121" i="19"/>
  <c r="C117" i="19"/>
  <c r="C116" i="19"/>
  <c r="C115" i="19"/>
  <c r="C114" i="19"/>
  <c r="C113" i="19"/>
  <c r="C132" i="19" s="1"/>
  <c r="C112" i="19"/>
  <c r="E106" i="19"/>
  <c r="C46" i="19"/>
  <c r="C59" i="11"/>
  <c r="C57" i="11"/>
  <c r="C52" i="11"/>
  <c r="C51" i="11"/>
  <c r="C50" i="11"/>
  <c r="C49" i="11"/>
  <c r="C48" i="11"/>
  <c r="C47" i="11"/>
  <c r="C26" i="11"/>
  <c r="C27" i="11"/>
  <c r="C25" i="11"/>
  <c r="C19" i="11"/>
  <c r="C18" i="11"/>
  <c r="C17" i="11"/>
  <c r="C16" i="11"/>
  <c r="C15" i="11"/>
  <c r="I60" i="18"/>
  <c r="E71" i="17" l="1"/>
  <c r="C85" i="19"/>
  <c r="C128" i="19"/>
  <c r="C137" i="19"/>
  <c r="C153" i="19" s="1"/>
  <c r="C136" i="19"/>
  <c r="C152" i="19" s="1"/>
  <c r="C135" i="19"/>
  <c r="C150" i="19" s="1"/>
  <c r="C148" i="19"/>
  <c r="C134" i="19"/>
  <c r="C149" i="19" s="1"/>
  <c r="C142" i="19"/>
  <c r="C133" i="19"/>
  <c r="C118" i="19"/>
  <c r="C31" i="11"/>
  <c r="C21" i="11"/>
  <c r="C92" i="19"/>
  <c r="H67" i="17" l="1"/>
  <c r="G67" i="17"/>
  <c r="F67" i="17"/>
  <c r="E67" i="17"/>
  <c r="D67" i="17"/>
  <c r="C67" i="17"/>
  <c r="C143" i="19"/>
  <c r="C151" i="19"/>
  <c r="C147" i="19"/>
  <c r="C154" i="19" s="1"/>
  <c r="C138" i="19"/>
  <c r="D91" i="19"/>
  <c r="D92" i="19"/>
  <c r="K41" i="17"/>
  <c r="H139" i="17"/>
  <c r="H138" i="17"/>
  <c r="G139" i="17"/>
  <c r="G138" i="17"/>
  <c r="L35" i="21" l="1"/>
  <c r="K35" i="21"/>
  <c r="J35" i="21"/>
  <c r="H60" i="18" l="1"/>
  <c r="H131" i="17"/>
  <c r="G131" i="17"/>
  <c r="H130" i="17"/>
  <c r="G130" i="17"/>
  <c r="K40" i="17" l="1"/>
  <c r="C60" i="11"/>
  <c r="L30" i="21"/>
  <c r="K30" i="21"/>
  <c r="J30" i="21"/>
  <c r="G60" i="18"/>
  <c r="L25" i="21"/>
  <c r="G123" i="17"/>
  <c r="G122" i="17"/>
  <c r="F81" i="17" l="1"/>
  <c r="I81" i="17"/>
  <c r="D81" i="17"/>
  <c r="E81" i="17"/>
  <c r="G81" i="17"/>
  <c r="H81" i="17"/>
  <c r="H123" i="17"/>
  <c r="H122" i="17"/>
  <c r="K39" i="17"/>
  <c r="K25" i="21"/>
  <c r="J25" i="21"/>
  <c r="F60" i="18"/>
  <c r="L20" i="21"/>
  <c r="K20" i="21"/>
  <c r="J20" i="21"/>
  <c r="J80" i="17"/>
  <c r="J79" i="17"/>
  <c r="J78" i="17"/>
  <c r="K38" i="17" l="1"/>
  <c r="D106" i="19" l="1"/>
  <c r="D107" i="19" s="1"/>
  <c r="L15" i="21"/>
  <c r="K15" i="21"/>
  <c r="J15" i="21"/>
  <c r="E60" i="18"/>
  <c r="J86" i="17"/>
  <c r="H115" i="17"/>
  <c r="H114" i="17"/>
  <c r="G115" i="17"/>
  <c r="G114" i="17"/>
  <c r="H107" i="17"/>
  <c r="H106" i="17"/>
  <c r="G107" i="17"/>
  <c r="G106" i="17"/>
  <c r="J37" i="17"/>
  <c r="K37" i="17" s="1"/>
  <c r="E102" i="19" l="1"/>
  <c r="D102" i="19"/>
  <c r="C21" i="18"/>
  <c r="D60" i="18"/>
  <c r="H99" i="17"/>
  <c r="H98" i="17"/>
  <c r="G98" i="17"/>
  <c r="G99" i="17"/>
  <c r="D103" i="19" l="1"/>
  <c r="D108" i="19" s="1"/>
  <c r="J36" i="17"/>
  <c r="K36" i="17" s="1"/>
  <c r="L10" i="21" l="1"/>
  <c r="K10" i="21"/>
  <c r="J10" i="21"/>
  <c r="D91" i="17" l="1"/>
  <c r="E91" i="17" l="1"/>
  <c r="J35" i="17"/>
  <c r="L5" i="21"/>
  <c r="K5" i="21"/>
  <c r="J5" i="21"/>
  <c r="F35" i="17"/>
  <c r="D62" i="21"/>
  <c r="E62" i="21"/>
  <c r="C62" i="21"/>
  <c r="I47" i="17" l="1"/>
  <c r="H47" i="17"/>
  <c r="G47" i="17"/>
  <c r="O59" i="18"/>
  <c r="H71" i="17" l="1"/>
  <c r="E45" i="21" l="1"/>
  <c r="D45" i="21"/>
  <c r="C45" i="21"/>
  <c r="E40" i="21"/>
  <c r="D40" i="21"/>
  <c r="C40" i="21"/>
  <c r="E35" i="21"/>
  <c r="D35" i="21"/>
  <c r="C35" i="21"/>
  <c r="E30" i="21"/>
  <c r="D30" i="21"/>
  <c r="C30" i="21"/>
  <c r="E25" i="21"/>
  <c r="D25" i="21"/>
  <c r="C25" i="21"/>
  <c r="E20" i="21"/>
  <c r="D20" i="21"/>
  <c r="C20" i="21"/>
  <c r="E15" i="21"/>
  <c r="D15" i="21"/>
  <c r="C15" i="21"/>
  <c r="E10" i="21"/>
  <c r="D10" i="21"/>
  <c r="C10" i="21"/>
  <c r="E5" i="21"/>
  <c r="D5" i="21"/>
  <c r="C5" i="21"/>
  <c r="D33" i="20"/>
  <c r="C33" i="20"/>
  <c r="C16" i="20"/>
  <c r="D16" i="20"/>
  <c r="C60" i="18"/>
  <c r="C51" i="18"/>
  <c r="C6" i="18"/>
  <c r="H92" i="17"/>
  <c r="G92" i="17"/>
  <c r="H91" i="17"/>
  <c r="G91" i="17"/>
  <c r="E47" i="17"/>
  <c r="D47" i="17"/>
  <c r="C47" i="17"/>
  <c r="K16" i="17"/>
  <c r="J16" i="17"/>
  <c r="I16" i="17"/>
  <c r="H16" i="17"/>
  <c r="G16" i="17"/>
  <c r="F16" i="17"/>
  <c r="E16" i="17"/>
  <c r="D16" i="17"/>
  <c r="C16" i="17"/>
  <c r="C49" i="19"/>
  <c r="C42" i="19"/>
  <c r="F30" i="19"/>
  <c r="C53" i="11"/>
  <c r="D43" i="11"/>
  <c r="C43" i="11"/>
  <c r="D10" i="11"/>
  <c r="C10" i="11"/>
  <c r="D46" i="19" l="1"/>
  <c r="D48" i="19"/>
  <c r="D47" i="19"/>
  <c r="D84" i="19"/>
  <c r="D83" i="19"/>
  <c r="D82" i="19"/>
  <c r="D81" i="19"/>
  <c r="D80" i="19"/>
  <c r="D79" i="19"/>
  <c r="D41" i="19"/>
  <c r="D40" i="19"/>
  <c r="D39" i="19"/>
  <c r="D38" i="19"/>
  <c r="D37" i="19"/>
  <c r="D36" i="19"/>
  <c r="O60" i="18"/>
  <c r="J47" i="17"/>
  <c r="K47" i="17" s="1"/>
  <c r="K35" i="17"/>
  <c r="F47" i="17"/>
  <c r="E75" i="19"/>
  <c r="E31" i="19"/>
  <c r="D49" i="19" l="1"/>
  <c r="D85" i="19"/>
  <c r="D42" i="19"/>
</calcChain>
</file>

<file path=xl/sharedStrings.xml><?xml version="1.0" encoding="utf-8"?>
<sst xmlns="http://schemas.openxmlformats.org/spreadsheetml/2006/main" count="808" uniqueCount="196">
  <si>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</si>
  <si>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</si>
  <si>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</si>
  <si>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</si>
  <si>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</si>
  <si>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</si>
  <si>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</si>
  <si>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</si>
  <si>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</si>
  <si>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</si>
  <si>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</si>
  <si>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</si>
  <si>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</si>
  <si>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</si>
  <si>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</si>
  <si>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</si>
  <si>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</si>
  <si>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</si>
  <si>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</si>
  <si>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</si>
  <si>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</si>
  <si>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</si>
  <si>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</si>
  <si>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</si>
  <si>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</si>
  <si>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</si>
  <si>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</si>
  <si>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</si>
  <si>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</si>
  <si>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</si>
  <si>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</si>
  <si>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</si>
  <si>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</si>
  <si>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</si>
  <si>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</si>
  <si>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</si>
  <si>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</si>
  <si>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</si>
  <si>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</si>
  <si>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</si>
  <si>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</si>
  <si>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</si>
  <si>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</si>
  <si>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</si>
  <si>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</si>
  <si>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</si>
  <si>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</si>
  <si>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</si>
  <si>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</si>
  <si>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</si>
  <si>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</si>
  <si>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</si>
  <si>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</si>
  <si>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</si>
  <si>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</si>
  <si>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</si>
  <si>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</si>
  <si>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</si>
  <si>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</si>
  <si>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</si>
  <si>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</si>
  <si>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</si>
  <si>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</si>
  <si>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>PAX. SALIDOS</t>
  </si>
  <si>
    <t>VALOR TOTAL</t>
  </si>
  <si>
    <t xml:space="preserve">VALOR TASA (M/CTE) </t>
  </si>
  <si>
    <t>VARIACION EN PESOS MES ANTERIOR</t>
  </si>
  <si>
    <t>Variación porcentual mes anterior</t>
  </si>
  <si>
    <r>
      <t xml:space="preserve">Ingresos Generados Pax </t>
    </r>
    <r>
      <rPr>
        <b/>
        <sz val="13"/>
        <color theme="1"/>
        <rFont val="Calibri"/>
        <family val="2"/>
        <scheme val="minor"/>
      </rPr>
      <t>NACIONALES</t>
    </r>
  </si>
  <si>
    <t xml:space="preserve">VALOR TASA (USD) </t>
  </si>
  <si>
    <r>
      <t>Ingresos Generados Pax</t>
    </r>
    <r>
      <rPr>
        <sz val="13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INTERNACIONALES</t>
    </r>
  </si>
  <si>
    <t>No. Pax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</si>
  <si>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</si>
  <si>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</si>
  <si>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</si>
  <si>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</si>
  <si>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</si>
  <si>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</si>
  <si>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</si>
  <si>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</si>
  <si>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</si>
  <si>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</si>
  <si>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</si>
  <si>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</si>
  <si>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</si>
  <si>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</si>
  <si>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</si>
  <si>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</si>
  <si>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</si>
  <si>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</si>
  <si>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</si>
  <si>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</si>
  <si>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</si>
  <si>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</si>
  <si>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</si>
  <si>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</si>
  <si>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</si>
  <si>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</si>
  <si>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</si>
  <si>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</si>
  <si>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</si>
  <si>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</si>
  <si>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</si>
  <si>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</si>
  <si>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</si>
  <si>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</si>
  <si>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</si>
  <si>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% DE CREC. 2024 VS 2025</t>
  </si>
  <si>
    <t>Kilos Carga CO PEI 2025</t>
  </si>
  <si>
    <t>TOTAL KILOS 2025</t>
  </si>
  <si>
    <t>VALOR EN TASAS AEROPORTUARIAS PASAJEROS SALIDOS NACIONALES 2025</t>
  </si>
  <si>
    <t>VALOR EN TASAS AEROPORTUARIAS PASAJEROS SALIDOS INTERNACIONALES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</si>
  <si>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</si>
  <si>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</si>
  <si>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</si>
  <si>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</si>
  <si>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</si>
  <si>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</si>
  <si>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</si>
  <si>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</si>
  <si>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</si>
  <si>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</si>
  <si>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</si>
  <si>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</si>
  <si>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VOLUMEN DE CARGA PRIMER SEMESTRE AÑO 2025         ( ENERO - JUNIO)</t>
  </si>
  <si>
    <t>TOTAL PRIMER SEMESTRE AÑO 2025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</si>
  <si>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</si>
  <si>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</si>
  <si>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</si>
  <si>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</si>
  <si>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</si>
  <si>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</si>
  <si>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</si>
  <si>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</si>
  <si>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</si>
  <si>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</si>
  <si>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</si>
  <si>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9.85%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</si>
  <si>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</si>
  <si>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</si>
  <si>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</si>
  <si>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</si>
  <si>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</si>
  <si>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</si>
  <si>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</si>
  <si>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</si>
  <si>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</si>
  <si>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</si>
  <si>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</si>
  <si>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</si>
  <si>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</si>
  <si>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TOTAL 2025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</si>
  <si>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</si>
  <si>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</si>
  <si>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</si>
  <si>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</si>
  <si>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</si>
  <si>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</si>
  <si>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</si>
  <si>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</si>
  <si>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</si>
  <si>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</si>
  <si>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</si>
  <si>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</si>
  <si>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</si>
  <si>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</si>
  <si>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</si>
  <si>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</si>
  <si>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</si>
  <si>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</si>
  <si>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</si>
  <si>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</si>
  <si>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</si>
  <si>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</si>
  <si>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</si>
  <si>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</si>
  <si>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</si>
  <si>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t>VOLUMEN DE CARGA DICIEMBRE 2025</t>
  </si>
  <si>
    <t>REPORTE VUELOS ATRASOS DICIEMBRE 2025</t>
  </si>
  <si>
    <t>REPORTE VUELOS ATRASADOS DICIEMBRE 2025</t>
  </si>
  <si>
    <t>REPORTE VUELOS ATRASADOS DICIEMBRE 2024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</si>
  <si>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  <r>
      <rPr>
        <b/>
        <sz val="11"/>
        <color theme="0"/>
        <rFont val="Arial"/>
        <family val="2"/>
      </rPr>
      <t xml:space="preserve"> DICIEMBRE 2025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</si>
  <si>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DESTINO DICIEMBRE</t>
    </r>
    <r>
      <rPr>
        <b/>
        <sz val="11"/>
        <color theme="0"/>
        <rFont val="Arial"/>
        <family val="2"/>
      </rPr>
      <t xml:space="preserve"> 2025</t>
    </r>
  </si>
  <si>
    <t>MOVIMIENTO DE OPERACIONES POR AEROLINEA DICIEMBRE 2025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</si>
  <si>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 DICIEMBRE 2025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</si>
  <si>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 SALIDOS DICIEMBRE 2025</t>
    </r>
  </si>
  <si>
    <t>COMPARATIVO OPERACIÓN ANUAL POR DESTINO Y PROCEDENCIA 2016-2026</t>
  </si>
  <si>
    <t>COMPARATIVO OPERACIONES DESTINO Y PROCEDENCIA  DICIEMBRE 2024 VS DICIEMBRE 2025</t>
  </si>
  <si>
    <t>Aeropuerto Internacional Matecaña</t>
  </si>
  <si>
    <t>Aeropuerto Santiago Pérez Quiroz</t>
  </si>
  <si>
    <t>KTPA</t>
  </si>
  <si>
    <t>TAMPA</t>
  </si>
  <si>
    <t>Aeropuerto internacional de tampa</t>
  </si>
  <si>
    <t>VOLUMEN DE CARGA SEGUNDO SEMESTRE AÑO 2025         ( JULIO - DICIEMBRE)</t>
  </si>
  <si>
    <t>TOTAL SEGUNDO SEMESTRE AÑO 2025</t>
  </si>
  <si>
    <t>SATENA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</si>
</sst>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  <numFmt numFmtId="166" formatCode="_(&quot;$&quot;\ * #,##0.00_);_(&quot;$&quot;\ * \(#,##0.00\);_(&quot;$&quot;\ * &quot;-&quot;??_);_(@_)"/>
    <numFmt numFmtId="167" formatCode="0.0%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i/>
      <sz val="11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0"/>
      <name val="Calibri"/>
      <family val="2"/>
      <scheme val="minor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C00000"/>
      <name val="Calibri"/>
      <family val="2"/>
      <scheme val="minor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8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6" fillId="30" borderId="0">
      <alignment horizontal="center" vertical="center"/>
    </xf>
    <xf numFmtId="0" fontId="56" fillId="30" borderId="0"/>
    <xf numFmtId="0" fontId="1" fillId="0" borderId="0"/>
  </cellStyleXfs>
  <cellXfs count="468">
    <xf numFmtId="0" fontId="0" fillId="0" borderId="0" xfId="0"/>
    <xf numFmtId="0" fontId="6" fillId="3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6" fillId="7" borderId="5" xfId="0" applyFont="1" applyFill="1" applyBorder="1" applyAlignment="1">
      <alignment horizontal="left" vertical="top" wrapText="1"/>
    </xf>
    <xf numFmtId="3" fontId="6" fillId="7" borderId="6" xfId="2" applyNumberFormat="1" applyFont="1" applyFill="1" applyBorder="1" applyAlignment="1">
      <alignment horizontal="center" vertical="top" wrapText="1"/>
    </xf>
    <xf numFmtId="3" fontId="6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10" fillId="6" borderId="0" xfId="0" applyFont="1" applyFill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1" fillId="6" borderId="0" xfId="0" applyFont="1" applyFill="1" applyAlignment="1">
      <alignment horizontal="left" vertical="top" wrapText="1"/>
    </xf>
    <xf numFmtId="0" fontId="11" fillId="6" borderId="0" xfId="0" applyFont="1" applyFill="1" applyAlignment="1">
      <alignment horizontal="right" vertical="top" wrapText="1"/>
    </xf>
    <xf numFmtId="3" fontId="12" fillId="6" borderId="0" xfId="0" applyNumberFormat="1" applyFont="1" applyFill="1" applyAlignment="1">
      <alignment horizontal="right" vertical="top" shrinkToFi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6" fillId="14" borderId="8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5" fillId="0" borderId="0" xfId="0" applyFont="1"/>
    <xf numFmtId="3" fontId="22" fillId="0" borderId="3" xfId="0" applyNumberFormat="1" applyFont="1" applyBorder="1"/>
    <xf numFmtId="0" fontId="23" fillId="18" borderId="5" xfId="0" applyFont="1" applyFill="1" applyBorder="1" applyAlignment="1">
      <alignment horizontal="center" vertical="center" wrapText="1"/>
    </xf>
    <xf numFmtId="0" fontId="23" fillId="18" borderId="6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 wrapText="1"/>
    </xf>
    <xf numFmtId="49" fontId="23" fillId="4" borderId="3" xfId="0" applyNumberFormat="1" applyFont="1" applyFill="1" applyBorder="1" applyAlignment="1">
      <alignment horizontal="center" vertical="center" wrapText="1"/>
    </xf>
    <xf numFmtId="49" fontId="23" fillId="4" borderId="4" xfId="0" applyNumberFormat="1" applyFont="1" applyFill="1" applyBorder="1" applyAlignment="1">
      <alignment horizontal="center" vertical="center" wrapText="1"/>
    </xf>
    <xf numFmtId="17" fontId="0" fillId="0" borderId="2" xfId="0" applyNumberFormat="1" applyBorder="1"/>
    <xf numFmtId="3" fontId="0" fillId="0" borderId="3" xfId="0" applyNumberFormat="1" applyBorder="1" applyAlignment="1">
      <alignment horizontal="center"/>
    </xf>
    <xf numFmtId="164" fontId="0" fillId="0" borderId="3" xfId="0" applyNumberFormat="1" applyBorder="1"/>
    <xf numFmtId="41" fontId="0" fillId="0" borderId="3" xfId="1" applyFont="1" applyBorder="1"/>
    <xf numFmtId="6" fontId="29" fillId="0" borderId="3" xfId="1" applyNumberFormat="1" applyFont="1" applyBorder="1"/>
    <xf numFmtId="10" fontId="29" fillId="0" borderId="4" xfId="3" applyNumberFormat="1" applyFont="1" applyBorder="1"/>
    <xf numFmtId="3" fontId="0" fillId="0" borderId="6" xfId="0" applyNumberFormat="1" applyBorder="1" applyAlignment="1">
      <alignment horizontal="center"/>
    </xf>
    <xf numFmtId="41" fontId="0" fillId="0" borderId="6" xfId="1" applyFont="1" applyBorder="1"/>
    <xf numFmtId="6" fontId="29" fillId="0" borderId="6" xfId="1" applyNumberFormat="1" applyFont="1" applyBorder="1"/>
    <xf numFmtId="164" fontId="31" fillId="0" borderId="3" xfId="0" applyNumberFormat="1" applyFont="1" applyBorder="1"/>
    <xf numFmtId="10" fontId="31" fillId="0" borderId="4" xfId="3" applyNumberFormat="1" applyFont="1" applyBorder="1"/>
    <xf numFmtId="10" fontId="31" fillId="0" borderId="4" xfId="0" applyNumberFormat="1" applyFont="1" applyBorder="1"/>
    <xf numFmtId="0" fontId="31" fillId="0" borderId="7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2" xfId="0" applyBorder="1" applyAlignment="1">
      <alignment horizontal="center"/>
    </xf>
    <xf numFmtId="3" fontId="0" fillId="0" borderId="0" xfId="0" applyNumberFormat="1"/>
    <xf numFmtId="0" fontId="6" fillId="3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3" fillId="18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right" vertical="top" shrinkToFit="1"/>
    </xf>
    <xf numFmtId="0" fontId="11" fillId="6" borderId="25" xfId="0" applyFont="1" applyFill="1" applyBorder="1"/>
    <xf numFmtId="0" fontId="0" fillId="0" borderId="0" xfId="0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 vertical="center"/>
    </xf>
    <xf numFmtId="0" fontId="14" fillId="6" borderId="25" xfId="0" applyFont="1" applyFill="1" applyBorder="1"/>
    <xf numFmtId="0" fontId="11" fillId="0" borderId="0" xfId="0" applyFont="1" applyAlignment="1">
      <alignment horizontal="left" vertical="top" wrapText="1"/>
    </xf>
    <xf numFmtId="1" fontId="12" fillId="0" borderId="0" xfId="0" applyNumberFormat="1" applyFont="1" applyAlignment="1">
      <alignment horizontal="right" vertical="top" shrinkToFit="1"/>
    </xf>
    <xf numFmtId="3" fontId="0" fillId="0" borderId="3" xfId="0" applyNumberForma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 shrinkToFit="1"/>
    </xf>
    <xf numFmtId="41" fontId="6" fillId="6" borderId="3" xfId="1" applyFont="1" applyFill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 shrinkToFit="1"/>
    </xf>
    <xf numFmtId="3" fontId="17" fillId="0" borderId="4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 vertical="top" wrapText="1"/>
    </xf>
    <xf numFmtId="3" fontId="9" fillId="6" borderId="0" xfId="0" applyNumberFormat="1" applyFont="1" applyFill="1" applyAlignment="1">
      <alignment horizontal="right" vertical="top" shrinkToFit="1"/>
    </xf>
    <xf numFmtId="1" fontId="9" fillId="0" borderId="0" xfId="0" applyNumberFormat="1" applyFont="1" applyAlignment="1">
      <alignment horizontal="right" vertical="top" shrinkToFit="1"/>
    </xf>
    <xf numFmtId="1" fontId="9" fillId="6" borderId="0" xfId="0" applyNumberFormat="1" applyFont="1" applyFill="1" applyAlignment="1">
      <alignment horizontal="right" vertical="top" shrinkToFit="1"/>
    </xf>
    <xf numFmtId="1" fontId="9" fillId="0" borderId="3" xfId="0" applyNumberFormat="1" applyFont="1" applyBorder="1" applyAlignment="1">
      <alignment horizontal="center" vertical="top" shrinkToFit="1"/>
    </xf>
    <xf numFmtId="41" fontId="6" fillId="6" borderId="4" xfId="1" applyFont="1" applyFill="1" applyBorder="1" applyAlignment="1">
      <alignment horizontal="center" vertical="center"/>
    </xf>
    <xf numFmtId="0" fontId="24" fillId="5" borderId="10" xfId="0" applyFont="1" applyFill="1" applyBorder="1" applyAlignment="1">
      <alignment horizontal="center" vertical="center" wrapText="1"/>
    </xf>
    <xf numFmtId="10" fontId="3" fillId="0" borderId="4" xfId="3" applyNumberFormat="1" applyFont="1" applyBorder="1"/>
    <xf numFmtId="164" fontId="3" fillId="6" borderId="3" xfId="1" applyNumberFormat="1" applyFont="1" applyFill="1" applyBorder="1"/>
    <xf numFmtId="41" fontId="6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8" fillId="0" borderId="43" xfId="0" applyFont="1" applyBorder="1" applyAlignment="1">
      <alignment horizontal="left" vertical="top" wrapText="1"/>
    </xf>
    <xf numFmtId="0" fontId="27" fillId="5" borderId="3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26" fillId="16" borderId="2" xfId="0" applyFont="1" applyFill="1" applyBorder="1" applyAlignment="1">
      <alignment horizontal="center" vertical="center" wrapText="1"/>
    </xf>
    <xf numFmtId="0" fontId="2" fillId="8" borderId="43" xfId="0" applyFont="1" applyFill="1" applyBorder="1" applyAlignment="1">
      <alignment horizontal="center" vertical="center"/>
    </xf>
    <xf numFmtId="0" fontId="2" fillId="8" borderId="44" xfId="0" applyFont="1" applyFill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 wrapText="1"/>
    </xf>
    <xf numFmtId="0" fontId="32" fillId="23" borderId="9" xfId="0" applyFont="1" applyFill="1" applyBorder="1" applyAlignment="1">
      <alignment horizontal="center"/>
    </xf>
    <xf numFmtId="0" fontId="32" fillId="23" borderId="10" xfId="0" applyFont="1" applyFill="1" applyBorder="1" applyAlignment="1">
      <alignment horizontal="center"/>
    </xf>
    <xf numFmtId="0" fontId="31" fillId="26" borderId="2" xfId="0" applyFont="1" applyFill="1" applyBorder="1"/>
    <xf numFmtId="3" fontId="12" fillId="0" borderId="0" xfId="0" applyNumberFormat="1" applyFont="1" applyAlignment="1">
      <alignment horizontal="right" vertical="top" shrinkToFit="1"/>
    </xf>
    <xf numFmtId="1" fontId="6" fillId="0" borderId="0" xfId="0" applyNumberFormat="1" applyFont="1" applyAlignment="1">
      <alignment horizontal="center" vertical="center" wrapText="1"/>
    </xf>
    <xf numFmtId="0" fontId="37" fillId="21" borderId="21" xfId="0" applyFont="1" applyFill="1" applyBorder="1" applyAlignment="1">
      <alignment horizontal="center" vertical="center" wrapText="1"/>
    </xf>
    <xf numFmtId="0" fontId="37" fillId="21" borderId="18" xfId="0" applyFont="1" applyFill="1" applyBorder="1" applyAlignment="1">
      <alignment horizontal="center" vertical="center" wrapText="1"/>
    </xf>
    <xf numFmtId="0" fontId="38" fillId="22" borderId="21" xfId="0" applyFont="1" applyFill="1" applyBorder="1" applyAlignment="1">
      <alignment horizontal="center" vertical="center" wrapText="1"/>
    </xf>
    <xf numFmtId="3" fontId="38" fillId="22" borderId="18" xfId="0" applyNumberFormat="1" applyFont="1" applyFill="1" applyBorder="1" applyAlignment="1">
      <alignment horizontal="center" vertical="center" wrapText="1"/>
    </xf>
    <xf numFmtId="0" fontId="33" fillId="0" borderId="21" xfId="0" applyFont="1" applyBorder="1" applyAlignment="1">
      <alignment horizontal="justify" vertical="center" wrapText="1"/>
    </xf>
    <xf numFmtId="0" fontId="34" fillId="0" borderId="18" xfId="0" applyFont="1" applyBorder="1" applyAlignment="1">
      <alignment horizontal="center" vertical="center" wrapText="1"/>
    </xf>
    <xf numFmtId="3" fontId="39" fillId="0" borderId="18" xfId="0" applyNumberFormat="1" applyFont="1" applyBorder="1" applyAlignment="1">
      <alignment horizontal="center" vertical="center" wrapText="1"/>
    </xf>
    <xf numFmtId="0" fontId="20" fillId="28" borderId="43" xfId="0" applyFont="1" applyFill="1" applyBorder="1" applyAlignment="1">
      <alignment horizontal="left"/>
    </xf>
    <xf numFmtId="0" fontId="17" fillId="2" borderId="43" xfId="0" applyFont="1" applyFill="1" applyBorder="1" applyAlignment="1">
      <alignment horizontal="left"/>
    </xf>
    <xf numFmtId="0" fontId="20" fillId="28" borderId="46" xfId="0" applyFont="1" applyFill="1" applyBorder="1" applyAlignment="1">
      <alignment horizontal="left"/>
    </xf>
    <xf numFmtId="0" fontId="17" fillId="25" borderId="25" xfId="0" applyFont="1" applyFill="1" applyBorder="1" applyAlignment="1">
      <alignment horizontal="left"/>
    </xf>
    <xf numFmtId="3" fontId="17" fillId="0" borderId="2" xfId="0" applyNumberFormat="1" applyFont="1" applyBorder="1" applyAlignment="1">
      <alignment horizontal="center"/>
    </xf>
    <xf numFmtId="3" fontId="17" fillId="0" borderId="3" xfId="0" applyNumberFormat="1" applyFont="1" applyBorder="1" applyAlignment="1">
      <alignment horizontal="center"/>
    </xf>
    <xf numFmtId="0" fontId="20" fillId="27" borderId="25" xfId="0" applyFont="1" applyFill="1" applyBorder="1" applyAlignment="1">
      <alignment horizontal="center" wrapText="1"/>
    </xf>
    <xf numFmtId="0" fontId="20" fillId="27" borderId="2" xfId="0" applyFont="1" applyFill="1" applyBorder="1" applyAlignment="1">
      <alignment horizontal="center" vertical="center"/>
    </xf>
    <xf numFmtId="0" fontId="20" fillId="27" borderId="3" xfId="0" applyFont="1" applyFill="1" applyBorder="1" applyAlignment="1">
      <alignment horizontal="center" vertical="center"/>
    </xf>
    <xf numFmtId="0" fontId="20" fillId="27" borderId="4" xfId="0" applyFont="1" applyFill="1" applyBorder="1" applyAlignment="1">
      <alignment horizontal="center" vertical="center"/>
    </xf>
    <xf numFmtId="0" fontId="17" fillId="17" borderId="3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/>
    </xf>
    <xf numFmtId="0" fontId="17" fillId="25" borderId="2" xfId="0" applyFont="1" applyFill="1" applyBorder="1" applyAlignment="1">
      <alignment horizontal="left"/>
    </xf>
    <xf numFmtId="0" fontId="17" fillId="17" borderId="2" xfId="0" applyFont="1" applyFill="1" applyBorder="1" applyAlignment="1">
      <alignment horizontal="center" wrapText="1"/>
    </xf>
    <xf numFmtId="0" fontId="31" fillId="0" borderId="1" xfId="0" applyFont="1" applyBorder="1" applyAlignment="1">
      <alignment horizontal="center"/>
    </xf>
    <xf numFmtId="0" fontId="31" fillId="0" borderId="22" xfId="0" applyFont="1" applyBorder="1" applyAlignment="1">
      <alignment horizontal="center"/>
    </xf>
    <xf numFmtId="0" fontId="26" fillId="24" borderId="2" xfId="0" applyFont="1" applyFill="1" applyBorder="1" applyAlignment="1">
      <alignment horizontal="center"/>
    </xf>
    <xf numFmtId="0" fontId="26" fillId="24" borderId="3" xfId="0" applyFont="1" applyFill="1" applyBorder="1" applyAlignment="1">
      <alignment horizontal="center"/>
    </xf>
    <xf numFmtId="0" fontId="26" fillId="24" borderId="4" xfId="0" applyFont="1" applyFill="1" applyBorder="1" applyAlignment="1">
      <alignment horizontal="center"/>
    </xf>
    <xf numFmtId="0" fontId="25" fillId="25" borderId="25" xfId="0" applyFont="1" applyFill="1" applyBorder="1" applyAlignment="1">
      <alignment horizontal="left"/>
    </xf>
    <xf numFmtId="3" fontId="25" fillId="0" borderId="2" xfId="0" applyNumberFormat="1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3" fontId="25" fillId="0" borderId="4" xfId="0" applyNumberFormat="1" applyFont="1" applyBorder="1" applyAlignment="1">
      <alignment horizontal="center"/>
    </xf>
    <xf numFmtId="0" fontId="25" fillId="25" borderId="46" xfId="0" applyFont="1" applyFill="1" applyBorder="1" applyAlignment="1">
      <alignment horizontal="left"/>
    </xf>
    <xf numFmtId="0" fontId="26" fillId="24" borderId="25" xfId="0" applyFont="1" applyFill="1" applyBorder="1" applyAlignment="1">
      <alignment horizontal="center" wrapText="1"/>
    </xf>
    <xf numFmtId="0" fontId="17" fillId="5" borderId="3" xfId="0" applyFont="1" applyFill="1" applyBorder="1" applyAlignment="1">
      <alignment horizontal="center"/>
    </xf>
    <xf numFmtId="0" fontId="17" fillId="5" borderId="4" xfId="0" applyFont="1" applyFill="1" applyBorder="1" applyAlignment="1">
      <alignment horizontal="center"/>
    </xf>
    <xf numFmtId="0" fontId="17" fillId="5" borderId="2" xfId="0" applyFont="1" applyFill="1" applyBorder="1" applyAlignment="1">
      <alignment horizontal="center" wrapText="1"/>
    </xf>
    <xf numFmtId="0" fontId="25" fillId="15" borderId="2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left"/>
    </xf>
    <xf numFmtId="0" fontId="27" fillId="10" borderId="43" xfId="0" applyFont="1" applyFill="1" applyBorder="1" applyAlignment="1">
      <alignment horizontal="center"/>
    </xf>
    <xf numFmtId="3" fontId="27" fillId="10" borderId="3" xfId="0" applyNumberFormat="1" applyFont="1" applyFill="1" applyBorder="1" applyAlignment="1">
      <alignment horizontal="center"/>
    </xf>
    <xf numFmtId="3" fontId="16" fillId="0" borderId="31" xfId="0" applyNumberFormat="1" applyFont="1" applyBorder="1" applyAlignment="1">
      <alignment horizontal="center" vertical="center" shrinkToFit="1"/>
    </xf>
    <xf numFmtId="0" fontId="8" fillId="0" borderId="25" xfId="0" applyFont="1" applyBorder="1"/>
    <xf numFmtId="3" fontId="8" fillId="0" borderId="2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8" fillId="0" borderId="24" xfId="0" applyNumberFormat="1" applyFont="1" applyBorder="1" applyAlignment="1">
      <alignment horizontal="center" vertical="center"/>
    </xf>
    <xf numFmtId="10" fontId="8" fillId="0" borderId="39" xfId="0" applyNumberFormat="1" applyFont="1" applyBorder="1" applyAlignment="1">
      <alignment horizontal="center" vertical="center"/>
    </xf>
    <xf numFmtId="3" fontId="6" fillId="12" borderId="3" xfId="0" applyNumberFormat="1" applyFont="1" applyFill="1" applyBorder="1" applyAlignment="1">
      <alignment horizontal="center" vertical="center"/>
    </xf>
    <xf numFmtId="0" fontId="21" fillId="0" borderId="28" xfId="0" applyFont="1" applyBorder="1" applyAlignment="1">
      <alignment horizontal="center"/>
    </xf>
    <xf numFmtId="3" fontId="35" fillId="17" borderId="34" xfId="0" applyNumberFormat="1" applyFont="1" applyFill="1" applyBorder="1" applyAlignment="1">
      <alignment horizontal="center"/>
    </xf>
    <xf numFmtId="3" fontId="35" fillId="17" borderId="35" xfId="0" applyNumberFormat="1" applyFont="1" applyFill="1" applyBorder="1" applyAlignment="1">
      <alignment horizontal="center"/>
    </xf>
    <xf numFmtId="3" fontId="35" fillId="17" borderId="36" xfId="0" applyNumberFormat="1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10" fontId="17" fillId="0" borderId="0" xfId="3" applyNumberFormat="1" applyFont="1" applyAlignment="1">
      <alignment horizontal="justify" vertical="center" wrapText="1"/>
    </xf>
    <xf numFmtId="3" fontId="14" fillId="0" borderId="0" xfId="0" applyNumberFormat="1" applyFont="1" applyAlignment="1">
      <alignment horizontal="center" vertical="center" wrapText="1"/>
    </xf>
    <xf numFmtId="0" fontId="40" fillId="0" borderId="5" xfId="0" applyFont="1" applyBorder="1" applyAlignment="1">
      <alignment wrapText="1"/>
    </xf>
    <xf numFmtId="0" fontId="24" fillId="10" borderId="2" xfId="0" applyFont="1" applyFill="1" applyBorder="1" applyAlignment="1">
      <alignment horizontal="center" wrapText="1"/>
    </xf>
    <xf numFmtId="0" fontId="24" fillId="10" borderId="3" xfId="0" applyFont="1" applyFill="1" applyBorder="1" applyAlignment="1">
      <alignment horizontal="center"/>
    </xf>
    <xf numFmtId="0" fontId="24" fillId="10" borderId="4" xfId="0" applyFont="1" applyFill="1" applyBorder="1" applyAlignment="1">
      <alignment horizontal="center"/>
    </xf>
    <xf numFmtId="3" fontId="16" fillId="0" borderId="44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top" wrapText="1"/>
    </xf>
    <xf numFmtId="164" fontId="0" fillId="0" borderId="6" xfId="0" applyNumberFormat="1" applyBorder="1"/>
    <xf numFmtId="164" fontId="4" fillId="0" borderId="0" xfId="1" applyNumberFormat="1" applyFont="1" applyBorder="1"/>
    <xf numFmtId="17" fontId="32" fillId="23" borderId="8" xfId="0" applyNumberFormat="1" applyFont="1" applyFill="1" applyBorder="1" applyAlignment="1">
      <alignment horizontal="center"/>
    </xf>
    <xf numFmtId="3" fontId="31" fillId="0" borderId="3" xfId="0" applyNumberFormat="1" applyFont="1" applyBorder="1" applyAlignment="1">
      <alignment horizontal="center" vertical="center"/>
    </xf>
    <xf numFmtId="165" fontId="31" fillId="0" borderId="3" xfId="0" applyNumberFormat="1" applyFont="1" applyBorder="1" applyAlignment="1">
      <alignment horizontal="center" vertical="center"/>
    </xf>
    <xf numFmtId="0" fontId="31" fillId="26" borderId="5" xfId="0" applyFont="1" applyFill="1" applyBorder="1"/>
    <xf numFmtId="3" fontId="43" fillId="0" borderId="6" xfId="0" applyNumberFormat="1" applyFont="1" applyBorder="1" applyAlignment="1">
      <alignment horizontal="center" vertical="center"/>
    </xf>
    <xf numFmtId="165" fontId="43" fillId="0" borderId="6" xfId="0" applyNumberFormat="1" applyFont="1" applyBorder="1" applyAlignment="1">
      <alignment horizontal="center" vertical="center"/>
    </xf>
    <xf numFmtId="164" fontId="43" fillId="0" borderId="6" xfId="0" applyNumberFormat="1" applyFont="1" applyBorder="1" applyAlignment="1">
      <alignment horizontal="center" vertical="center"/>
    </xf>
    <xf numFmtId="164" fontId="42" fillId="0" borderId="3" xfId="0" applyNumberFormat="1" applyFont="1" applyBorder="1"/>
    <xf numFmtId="10" fontId="42" fillId="0" borderId="4" xfId="3" applyNumberFormat="1" applyFont="1" applyBorder="1"/>
    <xf numFmtId="10" fontId="42" fillId="0" borderId="4" xfId="0" applyNumberFormat="1" applyFont="1" applyBorder="1"/>
    <xf numFmtId="164" fontId="47" fillId="0" borderId="6" xfId="0" applyNumberFormat="1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top" shrinkToFit="1"/>
    </xf>
    <xf numFmtId="10" fontId="1" fillId="0" borderId="4" xfId="3" applyNumberFormat="1" applyFont="1" applyBorder="1"/>
    <xf numFmtId="0" fontId="18" fillId="12" borderId="4" xfId="0" applyFont="1" applyFill="1" applyBorder="1" applyAlignment="1">
      <alignment horizontal="center" vertical="center"/>
    </xf>
    <xf numFmtId="0" fontId="24" fillId="14" borderId="8" xfId="0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25" fillId="12" borderId="1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1" fontId="36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40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27" fillId="5" borderId="6" xfId="0" applyFont="1" applyFill="1" applyBorder="1" applyAlignment="1">
      <alignment horizontal="center" vertical="center"/>
    </xf>
    <xf numFmtId="0" fontId="19" fillId="12" borderId="7" xfId="0" applyFont="1" applyFill="1" applyBorder="1" applyAlignment="1">
      <alignment horizontal="center" vertical="center"/>
    </xf>
    <xf numFmtId="3" fontId="22" fillId="0" borderId="0" xfId="0" applyNumberFormat="1" applyFont="1"/>
    <xf numFmtId="164" fontId="48" fillId="0" borderId="3" xfId="0" applyNumberFormat="1" applyFont="1" applyBorder="1"/>
    <xf numFmtId="10" fontId="48" fillId="0" borderId="4" xfId="3" applyNumberFormat="1" applyFont="1" applyBorder="1"/>
    <xf numFmtId="0" fontId="4" fillId="0" borderId="2" xfId="0" applyFont="1" applyBorder="1"/>
    <xf numFmtId="3" fontId="4" fillId="0" borderId="4" xfId="0" applyNumberFormat="1" applyFont="1" applyBorder="1"/>
    <xf numFmtId="0" fontId="4" fillId="12" borderId="5" xfId="0" applyFont="1" applyFill="1" applyBorder="1" applyAlignment="1">
      <alignment horizontal="center" vertical="center" wrapText="1"/>
    </xf>
    <xf numFmtId="3" fontId="4" fillId="12" borderId="7" xfId="0" applyNumberFormat="1" applyFont="1" applyFill="1" applyBorder="1"/>
    <xf numFmtId="3" fontId="16" fillId="12" borderId="53" xfId="0" applyNumberFormat="1" applyFont="1" applyFill="1" applyBorder="1" applyAlignment="1">
      <alignment horizontal="center" vertical="top" shrinkToFit="1"/>
    </xf>
    <xf numFmtId="0" fontId="25" fillId="12" borderId="24" xfId="0" applyFont="1" applyFill="1" applyBorder="1" applyAlignment="1">
      <alignment horizontal="center" vertical="center" wrapText="1"/>
    </xf>
    <xf numFmtId="1" fontId="50" fillId="0" borderId="0" xfId="0" applyNumberFormat="1" applyFont="1" applyAlignment="1">
      <alignment vertical="top" shrinkToFit="1"/>
    </xf>
    <xf numFmtId="3" fontId="9" fillId="0" borderId="3" xfId="0" applyNumberFormat="1" applyFont="1" applyBorder="1" applyAlignment="1">
      <alignment horizontal="center" vertical="center" shrinkToFit="1"/>
    </xf>
    <xf numFmtId="0" fontId="6" fillId="9" borderId="8" xfId="0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165" fontId="43" fillId="0" borderId="3" xfId="0" applyNumberFormat="1" applyFont="1" applyBorder="1" applyAlignment="1">
      <alignment horizontal="center" vertical="center"/>
    </xf>
    <xf numFmtId="3" fontId="22" fillId="0" borderId="23" xfId="0" applyNumberFormat="1" applyFont="1" applyBorder="1"/>
    <xf numFmtId="0" fontId="21" fillId="17" borderId="34" xfId="0" applyFont="1" applyFill="1" applyBorder="1" applyAlignment="1">
      <alignment horizontal="center" vertical="center"/>
    </xf>
    <xf numFmtId="0" fontId="21" fillId="17" borderId="35" xfId="0" applyFont="1" applyFill="1" applyBorder="1" applyAlignment="1">
      <alignment horizontal="center" vertical="center"/>
    </xf>
    <xf numFmtId="0" fontId="21" fillId="17" borderId="36" xfId="0" applyFont="1" applyFill="1" applyBorder="1" applyAlignment="1">
      <alignment horizontal="center" vertical="center"/>
    </xf>
    <xf numFmtId="3" fontId="22" fillId="0" borderId="59" xfId="0" applyNumberFormat="1" applyFont="1" applyBorder="1"/>
    <xf numFmtId="3" fontId="22" fillId="0" borderId="45" xfId="0" applyNumberFormat="1" applyFont="1" applyBorder="1"/>
    <xf numFmtId="0" fontId="22" fillId="13" borderId="54" xfId="0" applyFont="1" applyFill="1" applyBorder="1"/>
    <xf numFmtId="0" fontId="22" fillId="13" borderId="60" xfId="0" applyFont="1" applyFill="1" applyBorder="1"/>
    <xf numFmtId="0" fontId="22" fillId="13" borderId="61" xfId="0" applyFont="1" applyFill="1" applyBorder="1"/>
    <xf numFmtId="3" fontId="22" fillId="0" borderId="62" xfId="0" applyNumberFormat="1" applyFont="1" applyBorder="1"/>
    <xf numFmtId="3" fontId="22" fillId="0" borderId="31" xfId="0" applyNumberFormat="1" applyFont="1" applyBorder="1"/>
    <xf numFmtId="0" fontId="21" fillId="12" borderId="53" xfId="0" applyFont="1" applyFill="1" applyBorder="1"/>
    <xf numFmtId="3" fontId="21" fillId="12" borderId="63" xfId="0" applyNumberFormat="1" applyFont="1" applyFill="1" applyBorder="1"/>
    <xf numFmtId="3" fontId="21" fillId="12" borderId="35" xfId="0" applyNumberFormat="1" applyFont="1" applyFill="1" applyBorder="1"/>
    <xf numFmtId="0" fontId="15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31" fillId="0" borderId="0" xfId="0" applyFont="1"/>
    <xf numFmtId="164" fontId="48" fillId="0" borderId="0" xfId="0" applyNumberFormat="1" applyFont="1" applyAlignment="1">
      <alignment horizontal="center"/>
    </xf>
    <xf numFmtId="10" fontId="48" fillId="0" borderId="0" xfId="3" applyNumberFormat="1" applyFont="1" applyFill="1" applyBorder="1" applyAlignment="1">
      <alignment horizontal="center"/>
    </xf>
    <xf numFmtId="3" fontId="4" fillId="0" borderId="0" xfId="0" applyNumberFormat="1" applyFont="1" applyAlignment="1">
      <alignment horizontal="center"/>
    </xf>
    <xf numFmtId="42" fontId="4" fillId="0" borderId="0" xfId="12" applyFont="1" applyFill="1" applyBorder="1" applyAlignment="1">
      <alignment horizontal="center"/>
    </xf>
    <xf numFmtId="42" fontId="49" fillId="0" borderId="0" xfId="12" applyFont="1" applyFill="1" applyBorder="1" applyAlignment="1">
      <alignment horizontal="center"/>
    </xf>
    <xf numFmtId="3" fontId="49" fillId="0" borderId="0" xfId="0" applyNumberFormat="1" applyFont="1" applyAlignment="1">
      <alignment horizontal="center"/>
    </xf>
    <xf numFmtId="3" fontId="48" fillId="0" borderId="0" xfId="0" applyNumberFormat="1" applyFont="1" applyAlignment="1">
      <alignment horizontal="center"/>
    </xf>
    <xf numFmtId="9" fontId="50" fillId="0" borderId="0" xfId="3" applyFont="1" applyAlignment="1">
      <alignment vertical="top" shrinkToFit="1"/>
    </xf>
    <xf numFmtId="0" fontId="6" fillId="12" borderId="25" xfId="0" applyFont="1" applyFill="1" applyBorder="1" applyAlignment="1">
      <alignment horizontal="center" vertical="center"/>
    </xf>
    <xf numFmtId="3" fontId="6" fillId="12" borderId="24" xfId="0" applyNumberFormat="1" applyFont="1" applyFill="1" applyBorder="1" applyAlignment="1">
      <alignment horizontal="center" vertical="center"/>
    </xf>
    <xf numFmtId="0" fontId="24" fillId="14" borderId="2" xfId="0" applyFont="1" applyFill="1" applyBorder="1" applyAlignment="1">
      <alignment horizontal="center" vertical="center" wrapText="1"/>
    </xf>
    <xf numFmtId="0" fontId="25" fillId="12" borderId="4" xfId="0" applyFont="1" applyFill="1" applyBorder="1" applyAlignment="1">
      <alignment horizontal="center" vertical="center" wrapText="1"/>
    </xf>
    <xf numFmtId="0" fontId="18" fillId="14" borderId="2" xfId="0" applyFont="1" applyFill="1" applyBorder="1" applyAlignment="1">
      <alignment horizontal="left" vertical="top"/>
    </xf>
    <xf numFmtId="0" fontId="26" fillId="16" borderId="43" xfId="0" applyFont="1" applyFill="1" applyBorder="1" applyAlignment="1">
      <alignment horizontal="center" vertical="center" wrapText="1"/>
    </xf>
    <xf numFmtId="0" fontId="36" fillId="0" borderId="31" xfId="0" applyFont="1" applyBorder="1" applyAlignment="1">
      <alignment horizontal="center" vertical="center"/>
    </xf>
    <xf numFmtId="10" fontId="19" fillId="12" borderId="35" xfId="0" applyNumberFormat="1" applyFont="1" applyFill="1" applyBorder="1" applyAlignment="1">
      <alignment horizontal="center" vertical="center"/>
    </xf>
    <xf numFmtId="41" fontId="36" fillId="12" borderId="36" xfId="1" applyFont="1" applyFill="1" applyBorder="1" applyAlignment="1">
      <alignment horizontal="center" vertical="center"/>
    </xf>
    <xf numFmtId="0" fontId="51" fillId="12" borderId="34" xfId="0" applyFont="1" applyFill="1" applyBorder="1" applyAlignment="1">
      <alignment horizontal="left" vertical="top" wrapText="1"/>
    </xf>
    <xf numFmtId="42" fontId="0" fillId="0" borderId="0" xfId="12" applyFont="1"/>
    <xf numFmtId="3" fontId="22" fillId="0" borderId="24" xfId="0" applyNumberFormat="1" applyFont="1" applyBorder="1"/>
    <xf numFmtId="3" fontId="21" fillId="12" borderId="36" xfId="0" applyNumberFormat="1" applyFont="1" applyFill="1" applyBorder="1"/>
    <xf numFmtId="0" fontId="42" fillId="0" borderId="7" xfId="0" applyFont="1" applyBorder="1"/>
    <xf numFmtId="10" fontId="4" fillId="0" borderId="0" xfId="3" applyNumberFormat="1" applyFont="1"/>
    <xf numFmtId="0" fontId="43" fillId="12" borderId="5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left" vertical="top" wrapText="1"/>
    </xf>
    <xf numFmtId="3" fontId="6" fillId="7" borderId="36" xfId="2" applyNumberFormat="1" applyFont="1" applyFill="1" applyBorder="1" applyAlignment="1">
      <alignment horizontal="center" vertical="top" wrapText="1"/>
    </xf>
    <xf numFmtId="10" fontId="50" fillId="0" borderId="39" xfId="0" applyNumberFormat="1" applyFont="1" applyBorder="1" applyAlignment="1">
      <alignment horizontal="center" vertical="center"/>
    </xf>
    <xf numFmtId="0" fontId="24" fillId="14" borderId="34" xfId="0" applyFont="1" applyFill="1" applyBorder="1" applyAlignment="1">
      <alignment horizontal="center" vertical="center" wrapText="1"/>
    </xf>
    <xf numFmtId="3" fontId="34" fillId="0" borderId="16" xfId="0" applyNumberFormat="1" applyFont="1" applyBorder="1" applyAlignment="1">
      <alignment horizontal="center" vertical="center" wrapText="1"/>
    </xf>
    <xf numFmtId="10" fontId="48" fillId="0" borderId="4" xfId="0" applyNumberFormat="1" applyFont="1" applyBorder="1"/>
    <xf numFmtId="164" fontId="52" fillId="0" borderId="6" xfId="0" applyNumberFormat="1" applyFont="1" applyBorder="1" applyAlignment="1">
      <alignment horizontal="center" vertical="center"/>
    </xf>
    <xf numFmtId="3" fontId="6" fillId="29" borderId="51" xfId="2" applyNumberFormat="1" applyFont="1" applyFill="1" applyBorder="1" applyAlignment="1">
      <alignment horizontal="center" vertical="top" wrapText="1"/>
    </xf>
    <xf numFmtId="3" fontId="6" fillId="29" borderId="56" xfId="2" applyNumberFormat="1" applyFont="1" applyFill="1" applyBorder="1" applyAlignment="1">
      <alignment horizontal="center" vertical="top" wrapText="1"/>
    </xf>
    <xf numFmtId="0" fontId="8" fillId="15" borderId="8" xfId="0" applyFont="1" applyFill="1" applyBorder="1" applyAlignment="1">
      <alignment horizontal="left" vertical="top" wrapText="1"/>
    </xf>
    <xf numFmtId="0" fontId="8" fillId="15" borderId="9" xfId="0" applyFont="1" applyFill="1" applyBorder="1" applyAlignment="1">
      <alignment horizontal="left" vertical="top" wrapText="1"/>
    </xf>
    <xf numFmtId="3" fontId="8" fillId="15" borderId="9" xfId="0" applyNumberFormat="1" applyFont="1" applyFill="1" applyBorder="1" applyAlignment="1">
      <alignment horizontal="center" vertical="center" wrapText="1"/>
    </xf>
    <xf numFmtId="3" fontId="8" fillId="15" borderId="10" xfId="0" applyNumberFormat="1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left" vertical="top" wrapText="1"/>
    </xf>
    <xf numFmtId="0" fontId="8" fillId="15" borderId="6" xfId="0" applyFont="1" applyFill="1" applyBorder="1" applyAlignment="1">
      <alignment horizontal="left" vertical="top" wrapText="1"/>
    </xf>
    <xf numFmtId="3" fontId="8" fillId="15" borderId="6" xfId="0" applyNumberFormat="1" applyFont="1" applyFill="1" applyBorder="1" applyAlignment="1">
      <alignment horizontal="center" vertical="center" wrapText="1"/>
    </xf>
    <xf numFmtId="3" fontId="8" fillId="15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3" fontId="8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53" fillId="17" borderId="34" xfId="3" applyNumberFormat="1" applyFont="1" applyFill="1" applyBorder="1" applyAlignment="1">
      <alignment horizontal="center"/>
    </xf>
    <xf numFmtId="10" fontId="54" fillId="12" borderId="39" xfId="0" applyNumberFormat="1" applyFont="1" applyFill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shrinkToFit="1"/>
    </xf>
    <xf numFmtId="164" fontId="55" fillId="0" borderId="6" xfId="0" applyNumberFormat="1" applyFont="1" applyBorder="1" applyAlignment="1">
      <alignment horizontal="center" vertical="center"/>
    </xf>
    <xf numFmtId="17" fontId="0" fillId="6" borderId="14" xfId="0" applyNumberFormat="1" applyFill="1" applyBorder="1"/>
    <xf numFmtId="0" fontId="4" fillId="0" borderId="57" xfId="0" applyFont="1" applyBorder="1" applyAlignment="1">
      <alignment horizontal="right" vertical="center"/>
    </xf>
    <xf numFmtId="3" fontId="4" fillId="0" borderId="33" xfId="0" applyNumberFormat="1" applyFont="1" applyBorder="1" applyAlignment="1">
      <alignment horizontal="center"/>
    </xf>
    <xf numFmtId="164" fontId="4" fillId="0" borderId="56" xfId="1" applyNumberFormat="1" applyFont="1" applyBorder="1"/>
    <xf numFmtId="17" fontId="0" fillId="0" borderId="5" xfId="0" applyNumberFormat="1" applyBorder="1"/>
    <xf numFmtId="10" fontId="3" fillId="0" borderId="7" xfId="3" applyNumberFormat="1" applyFont="1" applyBorder="1"/>
    <xf numFmtId="0" fontId="23" fillId="8" borderId="2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 wrapText="1"/>
    </xf>
    <xf numFmtId="49" fontId="23" fillId="8" borderId="3" xfId="0" applyNumberFormat="1" applyFont="1" applyFill="1" applyBorder="1" applyAlignment="1">
      <alignment horizontal="center" vertical="center" wrapText="1"/>
    </xf>
    <xf numFmtId="49" fontId="23" fillId="8" borderId="4" xfId="0" applyNumberFormat="1" applyFont="1" applyFill="1" applyBorder="1" applyAlignment="1">
      <alignment horizontal="center" vertical="center" wrapText="1"/>
    </xf>
    <xf numFmtId="0" fontId="41" fillId="24" borderId="29" xfId="0" applyFont="1" applyFill="1" applyBorder="1"/>
    <xf numFmtId="0" fontId="41" fillId="24" borderId="30" xfId="0" applyFont="1" applyFill="1" applyBorder="1"/>
    <xf numFmtId="0" fontId="46" fillId="0" borderId="37" xfId="0" applyFont="1" applyBorder="1" applyAlignment="1">
      <alignment wrapText="1"/>
    </xf>
    <xf numFmtId="0" fontId="46" fillId="0" borderId="16" xfId="0" applyFont="1" applyBorder="1" applyAlignment="1">
      <alignment wrapText="1"/>
    </xf>
    <xf numFmtId="0" fontId="31" fillId="0" borderId="11" xfId="0" applyFont="1" applyBorder="1"/>
    <xf numFmtId="0" fontId="31" fillId="0" borderId="12" xfId="0" applyFont="1" applyBorder="1"/>
    <xf numFmtId="0" fontId="31" fillId="0" borderId="13" xfId="0" applyFont="1" applyBorder="1"/>
    <xf numFmtId="3" fontId="25" fillId="25" borderId="38" xfId="0" applyNumberFormat="1" applyFont="1" applyFill="1" applyBorder="1"/>
    <xf numFmtId="3" fontId="25" fillId="25" borderId="39" xfId="0" applyNumberFormat="1" applyFont="1" applyFill="1" applyBorder="1"/>
    <xf numFmtId="0" fontId="2" fillId="27" borderId="29" xfId="0" applyFont="1" applyFill="1" applyBorder="1"/>
    <xf numFmtId="0" fontId="2" fillId="27" borderId="3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20" fillId="28" borderId="38" xfId="0" applyNumberFormat="1" applyFont="1" applyFill="1" applyBorder="1"/>
    <xf numFmtId="3" fontId="20" fillId="28" borderId="39" xfId="0" applyNumberFormat="1" applyFont="1" applyFill="1" applyBorder="1"/>
    <xf numFmtId="0" fontId="46" fillId="0" borderId="37" xfId="0" applyFont="1" applyBorder="1" applyAlignment="1">
      <alignment vertical="center" wrapText="1"/>
    </xf>
    <xf numFmtId="0" fontId="46" fillId="0" borderId="16" xfId="0" applyFont="1" applyBorder="1" applyAlignment="1">
      <alignment vertical="center" wrapText="1"/>
    </xf>
    <xf numFmtId="9" fontId="0" fillId="0" borderId="0" xfId="3" applyFont="1"/>
    <xf numFmtId="10" fontId="0" fillId="0" borderId="64" xfId="3" applyNumberFormat="1" applyFont="1" applyBorder="1"/>
    <xf numFmtId="10" fontId="3" fillId="0" borderId="64" xfId="3" applyNumberFormat="1" applyFont="1" applyBorder="1"/>
    <xf numFmtId="165" fontId="0" fillId="0" borderId="3" xfId="0" applyNumberFormat="1" applyBorder="1"/>
    <xf numFmtId="10" fontId="29" fillId="0" borderId="4" xfId="3" applyNumberFormat="1" applyFont="1" applyBorder="1" applyAlignment="1">
      <alignment horizontal="right" vertical="center"/>
    </xf>
    <xf numFmtId="10" fontId="0" fillId="0" borderId="64" xfId="3" applyNumberFormat="1" applyFont="1" applyBorder="1" applyAlignment="1">
      <alignment horizontal="right"/>
    </xf>
    <xf numFmtId="10" fontId="3" fillId="0" borderId="64" xfId="3" applyNumberFormat="1" applyFont="1" applyBorder="1" applyAlignment="1">
      <alignment horizontal="right"/>
    </xf>
    <xf numFmtId="0" fontId="6" fillId="14" borderId="65" xfId="0" applyFont="1" applyFill="1" applyBorder="1" applyAlignment="1">
      <alignment horizontal="center" vertical="center" wrapText="1"/>
    </xf>
    <xf numFmtId="0" fontId="6" fillId="14" borderId="32" xfId="0" applyFont="1" applyFill="1" applyBorder="1" applyAlignment="1">
      <alignment horizontal="center" vertical="center" wrapText="1"/>
    </xf>
    <xf numFmtId="0" fontId="6" fillId="15" borderId="32" xfId="0" applyFont="1" applyFill="1" applyBorder="1" applyAlignment="1">
      <alignment horizontal="center" vertical="center" wrapText="1"/>
    </xf>
    <xf numFmtId="0" fontId="6" fillId="4" borderId="6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left" vertical="top" wrapText="1"/>
    </xf>
    <xf numFmtId="3" fontId="6" fillId="7" borderId="3" xfId="2" applyNumberFormat="1" applyFont="1" applyFill="1" applyBorder="1" applyAlignment="1">
      <alignment horizontal="center" vertical="top" wrapText="1"/>
    </xf>
    <xf numFmtId="0" fontId="24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11" borderId="3" xfId="0" applyFont="1" applyFill="1" applyBorder="1" applyAlignment="1">
      <alignment horizontal="center" vertical="center" wrapText="1"/>
    </xf>
    <xf numFmtId="10" fontId="8" fillId="0" borderId="3" xfId="3" applyNumberFormat="1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top" wrapText="1"/>
    </xf>
    <xf numFmtId="167" fontId="0" fillId="0" borderId="3" xfId="0" applyNumberFormat="1" applyBorder="1" applyAlignment="1">
      <alignment horizontal="center"/>
    </xf>
    <xf numFmtId="3" fontId="16" fillId="12" borderId="21" xfId="0" applyNumberFormat="1" applyFont="1" applyFill="1" applyBorder="1" applyAlignment="1">
      <alignment horizontal="center" vertical="top" shrinkToFit="1"/>
    </xf>
    <xf numFmtId="0" fontId="6" fillId="14" borderId="3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7" fillId="0" borderId="0" xfId="0" applyNumberFormat="1" applyFont="1" applyAlignment="1">
      <alignment horizontal="center" vertical="center" wrapText="1"/>
    </xf>
    <xf numFmtId="0" fontId="22" fillId="0" borderId="4" xfId="0" applyFont="1" applyBorder="1"/>
    <xf numFmtId="0" fontId="22" fillId="0" borderId="44" xfId="0" applyFont="1" applyBorder="1"/>
    <xf numFmtId="3" fontId="8" fillId="6" borderId="3" xfId="0" applyNumberFormat="1" applyFont="1" applyFill="1" applyBorder="1" applyAlignment="1">
      <alignment horizontal="center"/>
    </xf>
    <xf numFmtId="3" fontId="8" fillId="6" borderId="24" xfId="0" applyNumberFormat="1" applyFont="1" applyFill="1" applyBorder="1" applyAlignment="1">
      <alignment horizontal="center" vertical="center"/>
    </xf>
    <xf numFmtId="10" fontId="50" fillId="6" borderId="39" xfId="0" applyNumberFormat="1" applyFont="1" applyFill="1" applyBorder="1" applyAlignment="1">
      <alignment horizontal="center" vertical="center"/>
    </xf>
    <xf numFmtId="164" fontId="42" fillId="0" borderId="3" xfId="0" applyNumberFormat="1" applyFont="1" applyBorder="1" applyAlignment="1">
      <alignment horizontal="right"/>
    </xf>
    <xf numFmtId="164" fontId="47" fillId="0" borderId="6" xfId="0" applyNumberFormat="1" applyFont="1" applyBorder="1" applyAlignment="1">
      <alignment horizontal="right" vertical="center"/>
    </xf>
    <xf numFmtId="164" fontId="48" fillId="0" borderId="3" xfId="0" applyNumberFormat="1" applyFont="1" applyBorder="1" applyAlignment="1">
      <alignment horizontal="right"/>
    </xf>
    <xf numFmtId="164" fontId="55" fillId="0" borderId="6" xfId="0" applyNumberFormat="1" applyFont="1" applyBorder="1" applyAlignment="1">
      <alignment horizontal="right" vertical="center"/>
    </xf>
    <xf numFmtId="42" fontId="3" fillId="0" borderId="3" xfId="12" applyFon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0" fillId="0" borderId="3" xfId="1" applyNumberFormat="1" applyFont="1" applyBorder="1"/>
    <xf numFmtId="164" fontId="0" fillId="0" borderId="3" xfId="0" applyNumberFormat="1" applyBorder="1" applyAlignment="1">
      <alignment vertical="center"/>
    </xf>
    <xf numFmtId="164" fontId="0" fillId="0" borderId="3" xfId="1" applyNumberFormat="1" applyFont="1" applyBorder="1" applyAlignment="1"/>
    <xf numFmtId="10" fontId="59" fillId="0" borderId="64" xfId="3" applyNumberFormat="1" applyFont="1" applyBorder="1" applyAlignment="1">
      <alignment horizontal="right"/>
    </xf>
    <xf numFmtId="165" fontId="60" fillId="0" borderId="3" xfId="0" applyNumberFormat="1" applyFont="1" applyBorder="1"/>
    <xf numFmtId="3" fontId="4" fillId="0" borderId="3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33" fillId="0" borderId="0" xfId="0" applyFont="1" applyAlignment="1">
      <alignment horizontal="justify" vertical="center" wrapText="1"/>
    </xf>
    <xf numFmtId="3" fontId="39" fillId="0" borderId="0" xfId="0" applyNumberFormat="1" applyFont="1" applyAlignment="1">
      <alignment horizontal="center" vertical="center" wrapText="1"/>
    </xf>
    <xf numFmtId="1" fontId="16" fillId="0" borderId="3" xfId="0" applyNumberFormat="1" applyFont="1" applyBorder="1" applyAlignment="1">
      <alignment horizontal="center" vertical="top" shrinkToFit="1"/>
    </xf>
    <xf numFmtId="9" fontId="17" fillId="0" borderId="3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3" fontId="4" fillId="0" borderId="0" xfId="0" applyNumberFormat="1" applyFont="1"/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12" borderId="68" xfId="0" applyFont="1" applyFill="1" applyBorder="1" applyAlignment="1">
      <alignment horizontal="center" vertical="center" wrapText="1"/>
    </xf>
    <xf numFmtId="0" fontId="6" fillId="12" borderId="57" xfId="0" applyFont="1" applyFill="1" applyBorder="1" applyAlignment="1">
      <alignment horizontal="center" vertical="center" wrapText="1"/>
    </xf>
    <xf numFmtId="0" fontId="6" fillId="29" borderId="49" xfId="0" applyFont="1" applyFill="1" applyBorder="1" applyAlignment="1">
      <alignment horizontal="right" vertical="center" wrapText="1"/>
    </xf>
    <xf numFmtId="0" fontId="6" fillId="29" borderId="24" xfId="0" applyFont="1" applyFill="1" applyBorder="1" applyAlignment="1">
      <alignment horizontal="right" vertical="center" wrapText="1"/>
    </xf>
    <xf numFmtId="0" fontId="6" fillId="29" borderId="5" xfId="0" applyFont="1" applyFill="1" applyBorder="1" applyAlignment="1">
      <alignment horizontal="right" vertical="center" wrapText="1"/>
    </xf>
    <xf numFmtId="0" fontId="6" fillId="29" borderId="7" xfId="0" applyFont="1" applyFill="1" applyBorder="1" applyAlignment="1">
      <alignment horizontal="right" vertical="center" wrapText="1"/>
    </xf>
    <xf numFmtId="3" fontId="17" fillId="29" borderId="17" xfId="0" applyNumberFormat="1" applyFont="1" applyFill="1" applyBorder="1" applyAlignment="1">
      <alignment horizontal="center"/>
    </xf>
    <xf numFmtId="0" fontId="17" fillId="29" borderId="18" xfId="0" applyFont="1" applyFill="1" applyBorder="1" applyAlignment="1">
      <alignment horizontal="center"/>
    </xf>
    <xf numFmtId="0" fontId="58" fillId="12" borderId="28" xfId="0" applyFont="1" applyFill="1" applyBorder="1" applyAlignment="1">
      <alignment horizontal="center"/>
    </xf>
    <xf numFmtId="0" fontId="58" fillId="12" borderId="30" xfId="0" applyFont="1" applyFill="1" applyBorder="1" applyAlignment="1">
      <alignment horizontal="center"/>
    </xf>
    <xf numFmtId="3" fontId="58" fillId="12" borderId="29" xfId="0" applyNumberFormat="1" applyFont="1" applyFill="1" applyBorder="1" applyAlignment="1">
      <alignment horizontal="center"/>
    </xf>
    <xf numFmtId="3" fontId="16" fillId="12" borderId="58" xfId="0" applyNumberFormat="1" applyFont="1" applyFill="1" applyBorder="1" applyAlignment="1">
      <alignment horizontal="center" vertical="top"/>
    </xf>
    <xf numFmtId="0" fontId="16" fillId="12" borderId="18" xfId="0" applyFont="1" applyFill="1" applyBorder="1" applyAlignment="1">
      <alignment horizontal="center" vertical="top"/>
    </xf>
    <xf numFmtId="0" fontId="17" fillId="13" borderId="34" xfId="0" applyFont="1" applyFill="1" applyBorder="1" applyAlignment="1">
      <alignment horizontal="center" vertical="center"/>
    </xf>
    <xf numFmtId="0" fontId="17" fillId="13" borderId="35" xfId="0" applyFont="1" applyFill="1" applyBorder="1" applyAlignment="1">
      <alignment horizontal="center" vertical="center"/>
    </xf>
    <xf numFmtId="0" fontId="17" fillId="13" borderId="36" xfId="0" applyFont="1" applyFill="1" applyBorder="1" applyAlignment="1">
      <alignment horizontal="center" vertical="center"/>
    </xf>
    <xf numFmtId="0" fontId="20" fillId="8" borderId="8" xfId="0" applyFont="1" applyFill="1" applyBorder="1" applyAlignment="1">
      <alignment horizontal="center" vertical="center" wrapText="1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top" wrapText="1"/>
    </xf>
    <xf numFmtId="0" fontId="6" fillId="6" borderId="64" xfId="0" applyFont="1" applyFill="1" applyBorder="1" applyAlignment="1">
      <alignment horizontal="center" vertical="top" wrapText="1"/>
    </xf>
    <xf numFmtId="0" fontId="6" fillId="6" borderId="14" xfId="0" applyFont="1" applyFill="1" applyBorder="1" applyAlignment="1">
      <alignment horizontal="center" vertical="top" wrapText="1"/>
    </xf>
    <xf numFmtId="0" fontId="6" fillId="6" borderId="18" xfId="0" applyFont="1" applyFill="1" applyBorder="1" applyAlignment="1">
      <alignment horizontal="center" vertical="top" wrapText="1"/>
    </xf>
    <xf numFmtId="0" fontId="20" fillId="8" borderId="11" xfId="0" applyFont="1" applyFill="1" applyBorder="1" applyAlignment="1">
      <alignment horizontal="center" vertical="center" wrapText="1"/>
    </xf>
    <xf numFmtId="0" fontId="20" fillId="8" borderId="12" xfId="0" applyFont="1" applyFill="1" applyBorder="1" applyAlignment="1">
      <alignment horizontal="center" vertical="center" wrapText="1"/>
    </xf>
    <xf numFmtId="0" fontId="20" fillId="8" borderId="1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6" fillId="6" borderId="47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top" wrapText="1"/>
    </xf>
    <xf numFmtId="0" fontId="6" fillId="12" borderId="54" xfId="0" applyFont="1" applyFill="1" applyBorder="1" applyAlignment="1">
      <alignment horizontal="center" vertical="center" wrapText="1"/>
    </xf>
    <xf numFmtId="0" fontId="6" fillId="12" borderId="55" xfId="0" applyFont="1" applyFill="1" applyBorder="1" applyAlignment="1">
      <alignment horizontal="center" vertical="center" wrapText="1"/>
    </xf>
    <xf numFmtId="3" fontId="16" fillId="12" borderId="51" xfId="0" applyNumberFormat="1" applyFont="1" applyFill="1" applyBorder="1" applyAlignment="1">
      <alignment horizontal="center" vertical="top"/>
    </xf>
    <xf numFmtId="0" fontId="16" fillId="12" borderId="56" xfId="0" applyFont="1" applyFill="1" applyBorder="1" applyAlignment="1">
      <alignment horizontal="center" vertical="top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7" xfId="0" applyFont="1" applyFill="1" applyBorder="1" applyAlignment="1">
      <alignment horizontal="center" vertical="center" wrapText="1"/>
    </xf>
    <xf numFmtId="17" fontId="37" fillId="20" borderId="28" xfId="0" applyNumberFormat="1" applyFont="1" applyFill="1" applyBorder="1" applyAlignment="1">
      <alignment horizontal="center" vertical="center" wrapText="1"/>
    </xf>
    <xf numFmtId="0" fontId="37" fillId="20" borderId="29" xfId="0" applyFont="1" applyFill="1" applyBorder="1" applyAlignment="1">
      <alignment horizontal="center" vertical="center" wrapText="1"/>
    </xf>
    <xf numFmtId="0" fontId="37" fillId="20" borderId="30" xfId="0" applyFont="1" applyFill="1" applyBorder="1" applyAlignment="1">
      <alignment horizontal="center" vertical="center" wrapText="1"/>
    </xf>
    <xf numFmtId="0" fontId="15" fillId="11" borderId="14" xfId="0" applyFont="1" applyFill="1" applyBorder="1" applyAlignment="1">
      <alignment horizontal="center" vertical="center"/>
    </xf>
    <xf numFmtId="0" fontId="15" fillId="11" borderId="17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15" fillId="16" borderId="68" xfId="0" applyFont="1" applyFill="1" applyBorder="1" applyAlignment="1">
      <alignment horizontal="center" vertical="center"/>
    </xf>
    <xf numFmtId="0" fontId="15" fillId="16" borderId="0" xfId="0" applyFont="1" applyFill="1" applyAlignment="1">
      <alignment horizontal="center" vertical="center"/>
    </xf>
    <xf numFmtId="0" fontId="43" fillId="12" borderId="13" xfId="0" applyFont="1" applyFill="1" applyBorder="1" applyAlignment="1">
      <alignment horizontal="center" vertical="center" wrapText="1"/>
    </xf>
    <xf numFmtId="0" fontId="43" fillId="12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47" xfId="0" applyFont="1" applyFill="1" applyBorder="1" applyAlignment="1">
      <alignment horizontal="center" vertical="center"/>
    </xf>
    <xf numFmtId="0" fontId="15" fillId="11" borderId="48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20" fillId="16" borderId="40" xfId="0" applyFont="1" applyFill="1" applyBorder="1" applyAlignment="1">
      <alignment horizontal="center" vertical="center"/>
    </xf>
    <xf numFmtId="0" fontId="20" fillId="16" borderId="50" xfId="0" applyFont="1" applyFill="1" applyBorder="1" applyAlignment="1">
      <alignment horizontal="center" vertical="center"/>
    </xf>
    <xf numFmtId="0" fontId="20" fillId="16" borderId="41" xfId="0" applyFont="1" applyFill="1" applyBorder="1" applyAlignment="1">
      <alignment horizontal="center" vertical="center"/>
    </xf>
    <xf numFmtId="0" fontId="15" fillId="16" borderId="20" xfId="0" applyFont="1" applyFill="1" applyBorder="1" applyAlignment="1">
      <alignment horizontal="center" vertical="center"/>
    </xf>
    <xf numFmtId="0" fontId="15" fillId="16" borderId="21" xfId="0" applyFont="1" applyFill="1" applyBorder="1" applyAlignment="1">
      <alignment horizontal="center" vertical="center"/>
    </xf>
    <xf numFmtId="0" fontId="19" fillId="11" borderId="8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/>
    </xf>
    <xf numFmtId="0" fontId="46" fillId="0" borderId="27" xfId="0" applyFont="1" applyBorder="1" applyAlignment="1">
      <alignment horizontal="center" wrapText="1"/>
    </xf>
    <xf numFmtId="0" fontId="46" fillId="0" borderId="37" xfId="0" applyFont="1" applyBorder="1" applyAlignment="1">
      <alignment horizontal="center" wrapText="1"/>
    </xf>
    <xf numFmtId="0" fontId="4" fillId="5" borderId="28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3" fontId="17" fillId="2" borderId="26" xfId="0" applyNumberFormat="1" applyFont="1" applyFill="1" applyBorder="1" applyAlignment="1">
      <alignment horizontal="left"/>
    </xf>
    <xf numFmtId="3" fontId="17" fillId="2" borderId="38" xfId="0" applyNumberFormat="1" applyFont="1" applyFill="1" applyBorder="1" applyAlignment="1">
      <alignment horizontal="left"/>
    </xf>
    <xf numFmtId="3" fontId="17" fillId="2" borderId="39" xfId="0" applyNumberFormat="1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6" xfId="0" applyBorder="1" applyAlignment="1">
      <alignment horizontal="center"/>
    </xf>
    <xf numFmtId="0" fontId="41" fillId="10" borderId="11" xfId="0" applyFont="1" applyFill="1" applyBorder="1" applyAlignment="1">
      <alignment horizontal="center"/>
    </xf>
    <xf numFmtId="0" fontId="41" fillId="10" borderId="12" xfId="0" applyFont="1" applyFill="1" applyBorder="1" applyAlignment="1">
      <alignment horizontal="center"/>
    </xf>
    <xf numFmtId="0" fontId="41" fillId="10" borderId="13" xfId="0" applyFont="1" applyFill="1" applyBorder="1" applyAlignment="1">
      <alignment horizontal="center"/>
    </xf>
    <xf numFmtId="3" fontId="19" fillId="2" borderId="26" xfId="0" applyNumberFormat="1" applyFont="1" applyFill="1" applyBorder="1" applyAlignment="1">
      <alignment horizontal="center"/>
    </xf>
    <xf numFmtId="3" fontId="19" fillId="2" borderId="38" xfId="0" applyNumberFormat="1" applyFont="1" applyFill="1" applyBorder="1" applyAlignment="1">
      <alignment horizontal="center"/>
    </xf>
    <xf numFmtId="3" fontId="19" fillId="2" borderId="39" xfId="0" applyNumberFormat="1" applyFont="1" applyFill="1" applyBorder="1" applyAlignment="1">
      <alignment horizontal="center"/>
    </xf>
    <xf numFmtId="0" fontId="46" fillId="0" borderId="27" xfId="0" applyFont="1" applyBorder="1" applyAlignment="1">
      <alignment horizontal="center" vertical="center" wrapText="1"/>
    </xf>
    <xf numFmtId="0" fontId="46" fillId="0" borderId="37" xfId="0" applyFont="1" applyBorder="1" applyAlignment="1">
      <alignment horizontal="center" vertical="center" wrapText="1"/>
    </xf>
    <xf numFmtId="0" fontId="46" fillId="0" borderId="16" xfId="0" applyFont="1" applyBorder="1" applyAlignment="1">
      <alignment horizontal="center" wrapText="1"/>
    </xf>
    <xf numFmtId="0" fontId="2" fillId="8" borderId="11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4" fillId="17" borderId="28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0" fontId="4" fillId="17" borderId="30" xfId="0" applyFont="1" applyFill="1" applyBorder="1" applyAlignment="1">
      <alignment horizontal="center"/>
    </xf>
    <xf numFmtId="0" fontId="41" fillId="8" borderId="11" xfId="0" applyFont="1" applyFill="1" applyBorder="1" applyAlignment="1">
      <alignment horizontal="center" vertical="center" wrapText="1"/>
    </xf>
    <xf numFmtId="0" fontId="41" fillId="8" borderId="13" xfId="0" applyFont="1" applyFill="1" applyBorder="1" applyAlignment="1">
      <alignment horizontal="center" vertical="center" wrapText="1"/>
    </xf>
    <xf numFmtId="0" fontId="41" fillId="24" borderId="28" xfId="0" applyFont="1" applyFill="1" applyBorder="1" applyAlignment="1">
      <alignment horizontal="center"/>
    </xf>
    <xf numFmtId="0" fontId="41" fillId="24" borderId="29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0" fontId="2" fillId="27" borderId="29" xfId="0" applyFont="1" applyFill="1" applyBorder="1" applyAlignment="1">
      <alignment horizontal="center"/>
    </xf>
    <xf numFmtId="3" fontId="20" fillId="28" borderId="25" xfId="0" applyNumberFormat="1" applyFont="1" applyFill="1" applyBorder="1" applyAlignment="1">
      <alignment horizontal="center"/>
    </xf>
    <xf numFmtId="3" fontId="20" fillId="28" borderId="38" xfId="0" applyNumberFormat="1" applyFont="1" applyFill="1" applyBorder="1" applyAlignment="1">
      <alignment horizontal="center"/>
    </xf>
    <xf numFmtId="3" fontId="25" fillId="25" borderId="25" xfId="0" applyNumberFormat="1" applyFont="1" applyFill="1" applyBorder="1" applyAlignment="1">
      <alignment horizontal="center"/>
    </xf>
    <xf numFmtId="3" fontId="25" fillId="25" borderId="38" xfId="0" applyNumberFormat="1" applyFont="1" applyFill="1" applyBorder="1" applyAlignment="1">
      <alignment horizontal="center"/>
    </xf>
    <xf numFmtId="3" fontId="20" fillId="28" borderId="26" xfId="0" applyNumberFormat="1" applyFont="1" applyFill="1" applyBorder="1" applyAlignment="1">
      <alignment horizontal="center"/>
    </xf>
    <xf numFmtId="0" fontId="27" fillId="10" borderId="11" xfId="0" applyFont="1" applyFill="1" applyBorder="1" applyAlignment="1">
      <alignment horizontal="center" vertical="center"/>
    </xf>
    <xf numFmtId="0" fontId="27" fillId="10" borderId="12" xfId="0" applyFont="1" applyFill="1" applyBorder="1" applyAlignment="1">
      <alignment horizontal="center" vertical="center"/>
    </xf>
    <xf numFmtId="0" fontId="27" fillId="10" borderId="13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27" fillId="8" borderId="11" xfId="0" applyFont="1" applyFill="1" applyBorder="1" applyAlignment="1">
      <alignment horizontal="center" vertical="center"/>
    </xf>
    <xf numFmtId="0" fontId="27" fillId="8" borderId="12" xfId="0" applyFont="1" applyFill="1" applyBorder="1" applyAlignment="1">
      <alignment horizontal="center" vertical="center"/>
    </xf>
    <xf numFmtId="0" fontId="27" fillId="8" borderId="1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 DICIEMBRE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'!$B$47:$B$52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'!$C$47:$C$52</c:f>
              <c:numCache>
                <c:formatCode>#,##0</c:formatCode>
                <c:ptCount val="6"/>
                <c:pt idx="0">
                  <c:v>80612</c:v>
                </c:pt>
                <c:pt idx="1">
                  <c:v>28376</c:v>
                </c:pt>
                <c:pt idx="2">
                  <c:v>16470</c:v>
                </c:pt>
                <c:pt idx="3">
                  <c:v>3249</c:v>
                </c:pt>
                <c:pt idx="4">
                  <c:v>91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 DICIEMBRE 2025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'!$C$56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F7C-41E3-B699-E30ADD3E0C17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'!$B$57:$B$59</c:f>
              <c:strCache>
                <c:ptCount val="3"/>
                <c:pt idx="0">
                  <c:v>COPA</c:v>
                </c:pt>
                <c:pt idx="1">
                  <c:v>AVIANCA</c:v>
                </c:pt>
                <c:pt idx="2">
                  <c:v>GENERAL</c:v>
                </c:pt>
              </c:strCache>
            </c:strRef>
          </c:cat>
          <c:val>
            <c:numRef>
              <c:f>'ESTADISTICAS AEROLINEAS '!$C$57:$C$59</c:f>
              <c:numCache>
                <c:formatCode>#,##0</c:formatCode>
                <c:ptCount val="3"/>
                <c:pt idx="0">
                  <c:v>10467</c:v>
                </c:pt>
                <c:pt idx="1">
                  <c:v>2462</c:v>
                </c:pt>
                <c:pt idx="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 DICIEMBRE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Pt>
            <c:idx val="5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442-46CF-B0FF-D60E12C59B27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layout>
                <c:manualLayout>
                  <c:x val="2.4452433777970184E-2"/>
                  <c:y val="2.675630801740836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'!$B$25:$B$30</c:f>
              <c:strCache>
                <c:ptCount val="6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JETSMART</c:v>
                </c:pt>
                <c:pt idx="4">
                  <c:v>AVIACIÓN GENERAL</c:v>
                </c:pt>
                <c:pt idx="5">
                  <c:v>AVIACION ESTATAL</c:v>
                </c:pt>
              </c:strCache>
            </c:strRef>
          </c:cat>
          <c:val>
            <c:numRef>
              <c:f>'ESTADISTICAS AEROLINEAS '!$C$25:$C$30</c:f>
              <c:numCache>
                <c:formatCode>#,##0</c:formatCode>
                <c:ptCount val="6"/>
                <c:pt idx="0">
                  <c:v>14287</c:v>
                </c:pt>
                <c:pt idx="1">
                  <c:v>8744</c:v>
                </c:pt>
                <c:pt idx="2">
                  <c:v>1571</c:v>
                </c:pt>
                <c:pt idx="3">
                  <c:v>126</c:v>
                </c:pt>
                <c:pt idx="4">
                  <c:v>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 DICIEMBRE 2025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55101</c:v>
                </c:pt>
                <c:pt idx="1">
                  <c:v>24842</c:v>
                </c:pt>
                <c:pt idx="2">
                  <c:v>16219</c:v>
                </c:pt>
                <c:pt idx="3">
                  <c:v>3064</c:v>
                </c:pt>
                <c:pt idx="4">
                  <c:v>95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DICIEMBRE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 2025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'!$C$110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'!$B$111:$B$117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'!$C$111:$C$117</c:f>
              <c:numCache>
                <c:formatCode>0</c:formatCode>
                <c:ptCount val="7"/>
                <c:pt idx="0">
                  <c:v>496</c:v>
                </c:pt>
                <c:pt idx="1">
                  <c:v>145</c:v>
                </c:pt>
                <c:pt idx="2">
                  <c:v>177</c:v>
                </c:pt>
                <c:pt idx="3">
                  <c:v>131</c:v>
                </c:pt>
                <c:pt idx="4">
                  <c:v>104</c:v>
                </c:pt>
                <c:pt idx="5">
                  <c:v>65</c:v>
                </c:pt>
                <c:pt idx="6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- DESTINO DICIEMBRE</a:t>
            </a:r>
          </a:p>
          <a:p>
            <a:pPr>
              <a:defRPr sz="1000">
                <a:solidFill>
                  <a:sysClr val="windowText" lastClr="000000"/>
                </a:solidFill>
              </a:defRPr>
            </a:pPr>
            <a:r>
              <a:rPr lang="en-US" sz="1000" b="1" i="0" u="none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 2025</a:t>
            </a:r>
            <a:endParaRPr lang="es-CO" sz="1000" u="none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'!$C$120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'!$B$121:$B$127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'!$C$121:$C$127</c:f>
              <c:numCache>
                <c:formatCode>0</c:formatCode>
                <c:ptCount val="7"/>
                <c:pt idx="0">
                  <c:v>499</c:v>
                </c:pt>
                <c:pt idx="1">
                  <c:v>152</c:v>
                </c:pt>
                <c:pt idx="2">
                  <c:v>177</c:v>
                </c:pt>
                <c:pt idx="3">
                  <c:v>132</c:v>
                </c:pt>
                <c:pt idx="4">
                  <c:v>104</c:v>
                </c:pt>
                <c:pt idx="5">
                  <c:v>66</c:v>
                </c:pt>
                <c:pt idx="6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DICIEMBRE 2025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'!$C$131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'!$B$132:$B$135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'!$C$132:$C$135</c:f>
              <c:numCache>
                <c:formatCode>#,##0</c:formatCode>
                <c:ptCount val="4"/>
                <c:pt idx="0">
                  <c:v>354</c:v>
                </c:pt>
                <c:pt idx="1">
                  <c:v>995</c:v>
                </c:pt>
                <c:pt idx="2">
                  <c:v>263</c:v>
                </c:pt>
                <c:pt idx="3">
                  <c:v>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 DICIEMBRE 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'!$C$141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'!$B$142:$B$143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'!$C$142:$C$143</c:f>
              <c:numCache>
                <c:formatCode>0</c:formatCode>
                <c:ptCount val="2"/>
                <c:pt idx="0">
                  <c:v>131</c:v>
                </c:pt>
                <c:pt idx="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DICIEMBRE</a:t>
            </a:r>
          </a:p>
          <a:p>
            <a:pPr>
              <a:defRPr sz="1200">
                <a:solidFill>
                  <a:sysClr val="windowText" lastClr="000000"/>
                </a:solidFill>
              </a:defRPr>
            </a:pPr>
            <a:r>
              <a:rPr lang="en-US" sz="1000">
                <a:solidFill>
                  <a:sysClr val="windowText" lastClr="000000"/>
                </a:solidFill>
              </a:rPr>
              <a:t>DE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2025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'!$C$35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1CF-4683-BB31-72C003A063B7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'!$B$36:$B$41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'!$C$36:$C$41</c:f>
              <c:numCache>
                <c:formatCode>#,##0</c:formatCode>
                <c:ptCount val="6"/>
                <c:pt idx="0">
                  <c:v>98660</c:v>
                </c:pt>
                <c:pt idx="1">
                  <c:v>8720</c:v>
                </c:pt>
                <c:pt idx="2">
                  <c:v>10885</c:v>
                </c:pt>
                <c:pt idx="3">
                  <c:v>7626</c:v>
                </c:pt>
                <c:pt idx="4">
                  <c:v>2464</c:v>
                </c:pt>
                <c:pt idx="5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r>
              <a:rPr lang="en-US" sz="1200" baseline="0">
                <a:solidFill>
                  <a:sysClr val="windowText" lastClr="000000"/>
                </a:solidFill>
              </a:rPr>
              <a:t> DICIEMBRE</a:t>
            </a:r>
            <a:r>
              <a:rPr lang="en-US" sz="1200">
                <a:solidFill>
                  <a:sysClr val="windowText" lastClr="000000"/>
                </a:solidFill>
              </a:rPr>
              <a:t> 2025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B6F-41F7-A14B-D572E54570F5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6F-41F7-A14B-D572E54570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'!$B$46:$B$48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PANAMA</c:v>
                </c:pt>
              </c:strCache>
            </c:strRef>
          </c:cat>
          <c:val>
            <c:numRef>
              <c:f>'DESTINO Y PROCE '!$C$46:$C$48</c:f>
              <c:numCache>
                <c:formatCode>#,##0</c:formatCode>
                <c:ptCount val="3"/>
                <c:pt idx="0">
                  <c:v>10467</c:v>
                </c:pt>
                <c:pt idx="1">
                  <c:v>2462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DICIEMBRE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'!$B$147:$B$153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'!$C$147:$C$153</c:f>
              <c:numCache>
                <c:formatCode>#,##0</c:formatCode>
                <c:ptCount val="7"/>
                <c:pt idx="0">
                  <c:v>995</c:v>
                </c:pt>
                <c:pt idx="1">
                  <c:v>354</c:v>
                </c:pt>
                <c:pt idx="2">
                  <c:v>263</c:v>
                </c:pt>
                <c:pt idx="3">
                  <c:v>208</c:v>
                </c:pt>
                <c:pt idx="4">
                  <c:v>131</c:v>
                </c:pt>
                <c:pt idx="5">
                  <c:v>297</c:v>
                </c:pt>
                <c:pt idx="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DICIEMBRE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'!$C$146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'!$B$147:$B$153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'!$C$147:$C$153</c:f>
              <c:numCache>
                <c:formatCode>#,##0</c:formatCode>
                <c:ptCount val="7"/>
                <c:pt idx="0">
                  <c:v>995</c:v>
                </c:pt>
                <c:pt idx="1">
                  <c:v>354</c:v>
                </c:pt>
                <c:pt idx="2">
                  <c:v>263</c:v>
                </c:pt>
                <c:pt idx="3">
                  <c:v>208</c:v>
                </c:pt>
                <c:pt idx="4">
                  <c:v>131</c:v>
                </c:pt>
                <c:pt idx="5">
                  <c:v>297</c:v>
                </c:pt>
                <c:pt idx="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 DICIEMBRE 2025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'!$C$79:$C$83</c:f>
              <c:numCache>
                <c:formatCode>#,##0</c:formatCode>
                <c:ptCount val="5"/>
                <c:pt idx="0">
                  <c:v>76955</c:v>
                </c:pt>
                <c:pt idx="1">
                  <c:v>5607</c:v>
                </c:pt>
                <c:pt idx="2">
                  <c:v>11010</c:v>
                </c:pt>
                <c:pt idx="3">
                  <c:v>2868</c:v>
                </c:pt>
                <c:pt idx="4">
                  <c:v>2527</c:v>
                </c:pt>
              </c:numCache>
            </c:numRef>
          </c:cat>
          <c:val>
            <c:numRef>
              <c:f>'DESTINO Y PROCE '!$D$79:$D$83</c:f>
              <c:numCache>
                <c:formatCode>0.00%</c:formatCode>
                <c:ptCount val="5"/>
                <c:pt idx="0">
                  <c:v>0.59940803053316194</c:v>
                </c:pt>
                <c:pt idx="1">
                  <c:v>4.3673326323168594E-2</c:v>
                </c:pt>
                <c:pt idx="2">
                  <c:v>8.5757681972193009E-2</c:v>
                </c:pt>
                <c:pt idx="3">
                  <c:v>2.2339058301203411E-2</c:v>
                </c:pt>
                <c:pt idx="4">
                  <c:v>1.9682984772364374E-2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DICIEMBRE 2025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'!$D$88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'!$B$89:$B$91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'!$D$89:$D$91</c:f>
              <c:numCache>
                <c:formatCode>0.0%</c:formatCode>
                <c:ptCount val="3"/>
                <c:pt idx="0">
                  <c:v>0.35223976796648404</c:v>
                </c:pt>
                <c:pt idx="1">
                  <c:v>6.6226232678053498E-2</c:v>
                </c:pt>
                <c:pt idx="2">
                  <c:v>0.58153399935546246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'!$C$88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'!$B$89:$B$91</c15:sqref>
                        </c15:formulaRef>
                      </c:ext>
                    </c:extLst>
                    <c:strCache>
                      <c:ptCount val="3"/>
                      <c:pt idx="0">
                        <c:v>PANAMA</c:v>
                      </c:pt>
                      <c:pt idx="1">
                        <c:v>NEW YORK</c:v>
                      </c:pt>
                      <c:pt idx="2">
                        <c:v>OTROS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'!$C$89:$C$91</c15:sqref>
                        </c15:formulaRef>
                      </c:ext>
                    </c:extLst>
                    <c:numCache>
                      <c:formatCode>#,##0</c:formatCode>
                      <c:ptCount val="3"/>
                      <c:pt idx="0">
                        <c:v>8744</c:v>
                      </c:pt>
                      <c:pt idx="1">
                        <c:v>1644</c:v>
                      </c:pt>
                      <c:pt idx="2">
                        <c:v>14436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  <c:pt idx="12" formatCode="General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DICIEMBRE - 2025</a:t>
            </a: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485</c:v>
                </c:pt>
                <c:pt idx="1">
                  <c:v>177</c:v>
                </c:pt>
                <c:pt idx="2">
                  <c:v>105</c:v>
                </c:pt>
                <c:pt idx="3">
                  <c:v>120</c:v>
                </c:pt>
                <c:pt idx="4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DICIEMBRE 2024 VS DICIEMBRE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76</c:v>
                </c:pt>
                <c:pt idx="1">
                  <c:v>1823</c:v>
                </c:pt>
                <c:pt idx="2">
                  <c:v>254</c:v>
                </c:pt>
                <c:pt idx="3">
                  <c:v>2153</c:v>
                </c:pt>
                <c:pt idx="4">
                  <c:v>36</c:v>
                </c:pt>
                <c:pt idx="5">
                  <c:v>1951</c:v>
                </c:pt>
                <c:pt idx="6">
                  <c:v>297</c:v>
                </c:pt>
                <c:pt idx="7">
                  <c:v>2284</c:v>
                </c:pt>
                <c:pt idx="8" formatCode="0.00%">
                  <c:v>6.0845332094751514E-2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DICIEMBRE 2024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374</c:v>
                </c:pt>
                <c:pt idx="1">
                  <c:v>141</c:v>
                </c:pt>
                <c:pt idx="2">
                  <c:v>73</c:v>
                </c:pt>
                <c:pt idx="3">
                  <c:v>79</c:v>
                </c:pt>
                <c:pt idx="4">
                  <c:v>29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DICIEMBRE</a:t>
            </a:r>
          </a:p>
          <a:p>
            <a:pPr>
              <a:defRPr b="1">
                <a:solidFill>
                  <a:sysClr val="windowText" lastClr="000000"/>
                </a:solidFill>
              </a:defRPr>
            </a:pPr>
            <a:r>
              <a:rPr lang="en-US" sz="1200" b="1" baseline="0">
                <a:solidFill>
                  <a:sysClr val="windowText" lastClr="000000"/>
                </a:solidFill>
              </a:rPr>
              <a:t> 2025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DICIEMBRE 2025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'!$B$4:$B$6</c:f>
              <c:strCache>
                <c:ptCount val="3"/>
                <c:pt idx="0">
                  <c:v>LATAM</c:v>
                </c:pt>
                <c:pt idx="1">
                  <c:v>DEPRISA</c:v>
                </c:pt>
                <c:pt idx="2">
                  <c:v>TOTAL 2025</c:v>
                </c:pt>
              </c:strCache>
            </c:strRef>
          </c:cat>
          <c:val>
            <c:numRef>
              <c:f>'CARGA '!$C$4:$C$6</c:f>
              <c:numCache>
                <c:formatCode>#,##0</c:formatCode>
                <c:ptCount val="3"/>
                <c:pt idx="0">
                  <c:v>7684</c:v>
                </c:pt>
                <c:pt idx="1">
                  <c:v>66829</c:v>
                </c:pt>
                <c:pt idx="2">
                  <c:v>74513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 DICIEMBRE 2025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7684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66829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TOTAL 2025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74513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2025       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'!$C$8:$C$9</c:f>
              <c:strCache>
                <c:ptCount val="2"/>
                <c:pt idx="0">
                  <c:v>VOLUMEN DE CARGA PRIMER SEMESTRE AÑO 2025         ( 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'!$B$10:$B$13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PRIMER SEMESTRE AÑO 2025</c:v>
                </c:pt>
              </c:strCache>
            </c:strRef>
          </c:cat>
          <c:val>
            <c:numRef>
              <c:f>'CARGA '!$C$10:$C$13</c:f>
              <c:numCache>
                <c:formatCode>#,##0</c:formatCode>
                <c:ptCount val="4"/>
                <c:pt idx="0">
                  <c:v>4903</c:v>
                </c:pt>
                <c:pt idx="1">
                  <c:v>33706</c:v>
                </c:pt>
                <c:pt idx="2">
                  <c:v>395279</c:v>
                </c:pt>
                <c:pt idx="3">
                  <c:v>433888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 AD-SKPE PRIMER SEMESTRE AÑO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'!$B$18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'!$C$18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A-4CF6-81A8-59B5C0A09F23}"/>
            </c:ext>
          </c:extLst>
        </c:ser>
        <c:ser>
          <c:idx val="1"/>
          <c:order val="1"/>
          <c:tx>
            <c:strRef>
              <c:f>'CARGA '!$B$19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'!$C$19</c:f>
              <c:numCache>
                <c:formatCode>#,##0</c:formatCode>
                <c:ptCount val="1"/>
                <c:pt idx="0">
                  <c:v>34340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0A-4CF6-81A8-59B5C0A09F23}"/>
            </c:ext>
          </c:extLst>
        </c:ser>
        <c:ser>
          <c:idx val="2"/>
          <c:order val="2"/>
          <c:tx>
            <c:strRef>
              <c:f>'CARGA '!$B$20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'!$C$20</c:f>
              <c:numCache>
                <c:formatCode>#,##0</c:formatCode>
                <c:ptCount val="1"/>
                <c:pt idx="0">
                  <c:v>380231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0A-4CF6-81A8-59B5C0A09F23}"/>
            </c:ext>
          </c:extLst>
        </c:ser>
        <c:ser>
          <c:idx val="3"/>
          <c:order val="3"/>
          <c:tx>
            <c:strRef>
              <c:f>'CARGA '!$B$21</c:f>
              <c:strCache>
                <c:ptCount val="1"/>
                <c:pt idx="0">
                  <c:v>TOTAL SEGUNDO SEMESTRE AÑO 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'!$C$16:$C$17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'!$C$21</c:f>
              <c:numCache>
                <c:formatCode>#,##0</c:formatCode>
                <c:ptCount val="1"/>
                <c:pt idx="0">
                  <c:v>414571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0A-4CF6-81A8-59B5C0A09F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1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 AÑO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'!$B$57:$B$59</c:f>
              <c:strCache>
                <c:ptCount val="1"/>
                <c:pt idx="0">
                  <c:v>DEPRISA LATAM COPA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'CARGA '!$C$56:$N$59</c:f>
              <c:multiLvlStrCache>
                <c:ptCount val="12"/>
                <c:lvl>
                  <c:pt idx="0">
                    <c:v>4.903</c:v>
                  </c:pt>
                  <c:pt idx="1">
                    <c:v>-</c:v>
                  </c:pt>
                  <c:pt idx="2">
                    <c:v>-</c:v>
                  </c:pt>
                  <c:pt idx="3">
                    <c:v>-</c:v>
                  </c:pt>
                  <c:pt idx="4">
                    <c:v>-</c:v>
                  </c:pt>
                  <c:pt idx="5">
                    <c:v>-</c:v>
                  </c:pt>
                  <c:pt idx="6">
                    <c:v>-</c:v>
                  </c:pt>
                  <c:pt idx="7">
                    <c:v>-</c:v>
                  </c:pt>
                  <c:pt idx="8">
                    <c:v>-</c:v>
                  </c:pt>
                  <c:pt idx="9">
                    <c:v>-</c:v>
                  </c:pt>
                  <c:pt idx="10">
                    <c:v>-</c:v>
                  </c:pt>
                  <c:pt idx="11">
                    <c:v>-</c:v>
                  </c:pt>
                </c:lvl>
                <c:lvl>
                  <c:pt idx="0">
                    <c:v>5.936</c:v>
                  </c:pt>
                  <c:pt idx="1">
                    <c:v>4.828</c:v>
                  </c:pt>
                  <c:pt idx="2">
                    <c:v>5.792</c:v>
                  </c:pt>
                  <c:pt idx="3">
                    <c:v>6.690</c:v>
                  </c:pt>
                  <c:pt idx="4">
                    <c:v>4.289</c:v>
                  </c:pt>
                  <c:pt idx="5">
                    <c:v>6.171</c:v>
                  </c:pt>
                  <c:pt idx="6">
                    <c:v>5.322</c:v>
                  </c:pt>
                  <c:pt idx="7">
                    <c:v>6.117</c:v>
                  </c:pt>
                  <c:pt idx="8">
                    <c:v>3.933</c:v>
                  </c:pt>
                  <c:pt idx="9">
                    <c:v>3.600</c:v>
                  </c:pt>
                  <c:pt idx="10">
                    <c:v>7.684</c:v>
                  </c:pt>
                  <c:pt idx="11">
                    <c:v>7.684</c:v>
                  </c:pt>
                </c:lvl>
                <c:lvl>
                  <c:pt idx="0">
                    <c:v>76.931</c:v>
                  </c:pt>
                  <c:pt idx="1">
                    <c:v>71.983</c:v>
                  </c:pt>
                  <c:pt idx="2">
                    <c:v>60.392</c:v>
                  </c:pt>
                  <c:pt idx="3">
                    <c:v>60.392</c:v>
                  </c:pt>
                  <c:pt idx="4">
                    <c:v>62.009</c:v>
                  </c:pt>
                  <c:pt idx="5">
                    <c:v>63.572</c:v>
                  </c:pt>
                  <c:pt idx="6">
                    <c:v>51.617</c:v>
                  </c:pt>
                  <c:pt idx="7">
                    <c:v>61.483</c:v>
                  </c:pt>
                  <c:pt idx="8">
                    <c:v>61.509</c:v>
                  </c:pt>
                  <c:pt idx="9">
                    <c:v>63.653</c:v>
                  </c:pt>
                  <c:pt idx="10">
                    <c:v>75.140</c:v>
                  </c:pt>
                  <c:pt idx="11">
                    <c:v>66.829</c:v>
                  </c:pt>
                </c:lvl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'CARGA '!$C$60:$N$60</c:f>
              <c:numCache>
                <c:formatCode>#,##0</c:formatCode>
                <c:ptCount val="12"/>
                <c:pt idx="0">
                  <c:v>87770</c:v>
                </c:pt>
                <c:pt idx="1">
                  <c:v>76811</c:v>
                </c:pt>
                <c:pt idx="2">
                  <c:v>66184</c:v>
                </c:pt>
                <c:pt idx="3">
                  <c:v>67082</c:v>
                </c:pt>
                <c:pt idx="4">
                  <c:v>66298</c:v>
                </c:pt>
                <c:pt idx="5">
                  <c:v>69743</c:v>
                </c:pt>
                <c:pt idx="6">
                  <c:v>56939</c:v>
                </c:pt>
                <c:pt idx="7">
                  <c:v>67600</c:v>
                </c:pt>
                <c:pt idx="8">
                  <c:v>65442</c:v>
                </c:pt>
                <c:pt idx="9">
                  <c:v>67253</c:v>
                </c:pt>
                <c:pt idx="10">
                  <c:v>82824</c:v>
                </c:pt>
                <c:pt idx="11">
                  <c:v>74513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3-4CA5-92C0-6215681D8F0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0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legendEntry>
      <c:layout>
        <c:manualLayout>
          <c:xMode val="edge"/>
          <c:yMode val="edge"/>
          <c:x val="0.40257817140975521"/>
          <c:y val="0.91551202914040175"/>
          <c:w val="0.28137786148297622"/>
          <c:h val="6.60207501763110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SEGUNDO SEMESTRE AÑO 2025        ( JULIO - DICIEMBRE)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'!$C$16:$C$17</c:f>
              <c:strCache>
                <c:ptCount val="2"/>
                <c:pt idx="0">
                  <c:v>VOLUMEN DE CARGA SEGUNDO SEMESTRE AÑO 2025         ( JULIO - DICIEMBRE)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'!$B$18:$B$21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SEGUNDO SEMESTRE AÑO 2025</c:v>
                </c:pt>
              </c:strCache>
            </c:strRef>
          </c:cat>
          <c:val>
            <c:numRef>
              <c:f>'CARGA '!$C$18:$C$21</c:f>
              <c:numCache>
                <c:formatCode>#,##0</c:formatCode>
                <c:ptCount val="4"/>
                <c:pt idx="0">
                  <c:v>0</c:v>
                </c:pt>
                <c:pt idx="1">
                  <c:v>34340</c:v>
                </c:pt>
                <c:pt idx="2">
                  <c:v>380231</c:v>
                </c:pt>
                <c:pt idx="3">
                  <c:v>414571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F-4676-BA26-C27B54840B1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3" Type="http://schemas.openxmlformats.org/officeDocument/2006/relationships/image" Target="../media/image3.png"/><Relationship Id="rId7" Type="http://schemas.openxmlformats.org/officeDocument/2006/relationships/chart" Target="../charts/chart21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10" Type="http://schemas.openxmlformats.org/officeDocument/2006/relationships/chart" Target="../charts/chart24.xml"/><Relationship Id="rId4" Type="http://schemas.openxmlformats.org/officeDocument/2006/relationships/image" Target="../media/image4.png"/><Relationship Id="rId9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33</xdr:row>
      <xdr:rowOff>134939</xdr:rowOff>
    </xdr:from>
    <xdr:to>
      <xdr:col>10</xdr:col>
      <xdr:colOff>1000124</xdr:colOff>
      <xdr:row>54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33</xdr:row>
      <xdr:rowOff>277810</xdr:rowOff>
    </xdr:from>
    <xdr:to>
      <xdr:col>17</xdr:col>
      <xdr:colOff>365125</xdr:colOff>
      <xdr:row>53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19</xdr:col>
      <xdr:colOff>21167</xdr:colOff>
      <xdr:row>19</xdr:row>
      <xdr:rowOff>21167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279793</xdr:colOff>
      <xdr:row>0</xdr:row>
      <xdr:rowOff>69054</xdr:rowOff>
    </xdr:from>
    <xdr:to>
      <xdr:col>10</xdr:col>
      <xdr:colOff>634999</xdr:colOff>
      <xdr:row>18</xdr:row>
      <xdr:rowOff>179916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107</xdr:row>
      <xdr:rowOff>39270</xdr:rowOff>
    </xdr:from>
    <xdr:to>
      <xdr:col>13</xdr:col>
      <xdr:colOff>300790</xdr:colOff>
      <xdr:row>122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107</xdr:row>
      <xdr:rowOff>67677</xdr:rowOff>
    </xdr:from>
    <xdr:to>
      <xdr:col>18</xdr:col>
      <xdr:colOff>317500</xdr:colOff>
      <xdr:row>121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128</xdr:row>
      <xdr:rowOff>0</xdr:rowOff>
    </xdr:from>
    <xdr:to>
      <xdr:col>13</xdr:col>
      <xdr:colOff>374196</xdr:colOff>
      <xdr:row>146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128</xdr:row>
      <xdr:rowOff>90237</xdr:rowOff>
    </xdr:from>
    <xdr:to>
      <xdr:col>17</xdr:col>
      <xdr:colOff>380999</xdr:colOff>
      <xdr:row>144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709083</xdr:colOff>
      <xdr:row>1</xdr:row>
      <xdr:rowOff>116416</xdr:rowOff>
    </xdr:from>
    <xdr:to>
      <xdr:col>14</xdr:col>
      <xdr:colOff>994832</xdr:colOff>
      <xdr:row>33</xdr:row>
      <xdr:rowOff>84665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1594183</xdr:colOff>
      <xdr:row>1</xdr:row>
      <xdr:rowOff>160421</xdr:rowOff>
    </xdr:from>
    <xdr:to>
      <xdr:col>19</xdr:col>
      <xdr:colOff>455082</xdr:colOff>
      <xdr:row>29</xdr:row>
      <xdr:rowOff>137583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148</xdr:row>
      <xdr:rowOff>69385</xdr:rowOff>
    </xdr:from>
    <xdr:to>
      <xdr:col>14</xdr:col>
      <xdr:colOff>110289</xdr:colOff>
      <xdr:row>171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151</xdr:row>
      <xdr:rowOff>70182</xdr:rowOff>
    </xdr:from>
    <xdr:to>
      <xdr:col>20</xdr:col>
      <xdr:colOff>10026</xdr:colOff>
      <xdr:row>178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42333</xdr:colOff>
      <xdr:row>49</xdr:row>
      <xdr:rowOff>31750</xdr:rowOff>
    </xdr:from>
    <xdr:to>
      <xdr:col>14</xdr:col>
      <xdr:colOff>70184</xdr:colOff>
      <xdr:row>67</xdr:row>
      <xdr:rowOff>140368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50</xdr:row>
      <xdr:rowOff>177464</xdr:rowOff>
    </xdr:from>
    <xdr:to>
      <xdr:col>16</xdr:col>
      <xdr:colOff>1844842</xdr:colOff>
      <xdr:row>67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882097</xdr:colOff>
      <xdr:row>29</xdr:row>
      <xdr:rowOff>8834</xdr:rowOff>
    </xdr:from>
    <xdr:to>
      <xdr:col>21</xdr:col>
      <xdr:colOff>547686</xdr:colOff>
      <xdr:row>51</xdr:row>
      <xdr:rowOff>11906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22</xdr:row>
      <xdr:rowOff>9525</xdr:rowOff>
    </xdr:from>
    <xdr:to>
      <xdr:col>2</xdr:col>
      <xdr:colOff>104775</xdr:colOff>
      <xdr:row>24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30</xdr:row>
      <xdr:rowOff>11120</xdr:rowOff>
    </xdr:from>
    <xdr:to>
      <xdr:col>2</xdr:col>
      <xdr:colOff>142874</xdr:colOff>
      <xdr:row>31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38</xdr:row>
      <xdr:rowOff>20045</xdr:rowOff>
    </xdr:from>
    <xdr:to>
      <xdr:col>2</xdr:col>
      <xdr:colOff>171450</xdr:colOff>
      <xdr:row>39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46</xdr:row>
      <xdr:rowOff>11318</xdr:rowOff>
    </xdr:from>
    <xdr:to>
      <xdr:col>2</xdr:col>
      <xdr:colOff>133350</xdr:colOff>
      <xdr:row>48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7682C0D-D1C0-4A2D-A488-E4D8113D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0" y="9021968"/>
          <a:ext cx="1333500" cy="379207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8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466725</xdr:colOff>
      <xdr:row>0</xdr:row>
      <xdr:rowOff>33337</xdr:rowOff>
    </xdr:from>
    <xdr:to>
      <xdr:col>12</xdr:col>
      <xdr:colOff>523875</xdr:colOff>
      <xdr:row>7</xdr:row>
      <xdr:rowOff>257175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1076324</xdr:colOff>
      <xdr:row>9</xdr:row>
      <xdr:rowOff>180974</xdr:rowOff>
    </xdr:from>
    <xdr:to>
      <xdr:col>8</xdr:col>
      <xdr:colOff>304800</xdr:colOff>
      <xdr:row>21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190500</xdr:colOff>
      <xdr:row>6</xdr:row>
      <xdr:rowOff>23812</xdr:rowOff>
    </xdr:from>
    <xdr:to>
      <xdr:col>19</xdr:col>
      <xdr:colOff>180975</xdr:colOff>
      <xdr:row>19</xdr:row>
      <xdr:rowOff>42862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F4D79AF-D0DE-4146-CD20-1017BFFA77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15</xdr:col>
      <xdr:colOff>761998</xdr:colOff>
      <xdr:row>51</xdr:row>
      <xdr:rowOff>190500</xdr:rowOff>
    </xdr:from>
    <xdr:to>
      <xdr:col>24</xdr:col>
      <xdr:colOff>238124</xdr:colOff>
      <xdr:row>68</xdr:row>
      <xdr:rowOff>19050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D481DCC-280B-4CD5-A8CA-0E20D2DA4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0</xdr:colOff>
      <xdr:row>10</xdr:row>
      <xdr:rowOff>0</xdr:rowOff>
    </xdr:from>
    <xdr:to>
      <xdr:col>13</xdr:col>
      <xdr:colOff>266701</xdr:colOff>
      <xdr:row>21</xdr:row>
      <xdr:rowOff>47626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CC8C27DF-88AD-49D0-A893-A8E76DFE81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61"/>
  <sheetViews>
    <sheetView tabSelected="1" topLeftCell="A37" zoomScale="90" zoomScaleNormal="90" workbookViewId="0">
      <selection activeCell="A76" sqref="A76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48" t="s">
        <v>184</v>
      </c>
      <c r="C1" s="349"/>
      <c r="D1" s="350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32">
        <v>55101</v>
      </c>
      <c r="D3" s="67">
        <v>14287</v>
      </c>
    </row>
    <row r="4" spans="2:25">
      <c r="B4" s="4" t="s">
        <v>3</v>
      </c>
      <c r="C4" s="132">
        <v>24842</v>
      </c>
      <c r="D4" s="64">
        <v>1571</v>
      </c>
    </row>
    <row r="5" spans="2:25">
      <c r="B5" s="4" t="s">
        <v>101</v>
      </c>
      <c r="C5" s="132">
        <v>16219</v>
      </c>
      <c r="D5" s="64">
        <v>126</v>
      </c>
    </row>
    <row r="6" spans="2:25">
      <c r="B6" s="4" t="s">
        <v>97</v>
      </c>
      <c r="C6" s="132">
        <v>3064</v>
      </c>
      <c r="D6" s="64"/>
    </row>
    <row r="7" spans="2:25">
      <c r="B7" s="4" t="s">
        <v>102</v>
      </c>
      <c r="C7" s="132">
        <v>95</v>
      </c>
      <c r="D7" s="64">
        <v>4</v>
      </c>
    </row>
    <row r="8" spans="2:25">
      <c r="B8" s="4" t="s">
        <v>106</v>
      </c>
      <c r="C8" s="196">
        <v>0</v>
      </c>
      <c r="D8" s="64"/>
    </row>
    <row r="9" spans="2:25">
      <c r="B9" s="4" t="s">
        <v>5</v>
      </c>
      <c r="C9" s="66">
        <v>0</v>
      </c>
      <c r="D9" s="64">
        <v>8744</v>
      </c>
    </row>
    <row r="10" spans="2:25" ht="15.75" thickBot="1">
      <c r="B10" s="5" t="s">
        <v>6</v>
      </c>
      <c r="C10" s="6">
        <f>SUM(C3:C9)</f>
        <v>99321</v>
      </c>
      <c r="D10" s="7">
        <f>SUM(D3:D9)</f>
        <v>24732</v>
      </c>
    </row>
    <row r="11" spans="2:25">
      <c r="D11" s="48"/>
    </row>
    <row r="12" spans="2:25">
      <c r="D12" s="48"/>
    </row>
    <row r="14" spans="2:25">
      <c r="B14" s="309" t="s">
        <v>0</v>
      </c>
      <c r="C14" s="2" t="s">
        <v>1</v>
      </c>
    </row>
    <row r="15" spans="2:25">
      <c r="B15" s="18" t="s">
        <v>4</v>
      </c>
      <c r="C15" s="66">
        <f>C3</f>
        <v>55101</v>
      </c>
    </row>
    <row r="16" spans="2:25" ht="15.75">
      <c r="B16" s="18" t="s">
        <v>3</v>
      </c>
      <c r="C16" s="66">
        <f>C4</f>
        <v>24842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101</v>
      </c>
      <c r="C17" s="66">
        <f>C5</f>
        <v>16219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97</v>
      </c>
      <c r="C18" s="66">
        <f>C6</f>
        <v>3064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102</v>
      </c>
      <c r="C19" s="66">
        <f>C7</f>
        <v>95</v>
      </c>
      <c r="D19" s="48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106</v>
      </c>
      <c r="C20" s="339">
        <f>+C8</f>
        <v>0</v>
      </c>
      <c r="D20" s="48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310" t="s">
        <v>6</v>
      </c>
      <c r="C21" s="311">
        <f>SUM(C15:C20)</f>
        <v>99321</v>
      </c>
      <c r="D21" s="48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48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309" t="s">
        <v>0</v>
      </c>
      <c r="C24" s="312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66">
        <f>D3</f>
        <v>14287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66">
        <f>D9</f>
        <v>8744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66">
        <f>D4</f>
        <v>1571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101</v>
      </c>
      <c r="C28" s="66">
        <f>+D5</f>
        <v>126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102</v>
      </c>
      <c r="C29" s="66">
        <f>+D7</f>
        <v>4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18" t="s">
        <v>138</v>
      </c>
      <c r="C30" s="66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B31" s="310" t="s">
        <v>6</v>
      </c>
      <c r="C31" s="311">
        <f>SUM(C24:C30)</f>
        <v>24732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>
      <c r="D32" s="48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15.75" thickBot="1">
      <c r="D33" s="48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27" customHeight="1">
      <c r="B34" s="351" t="s">
        <v>185</v>
      </c>
      <c r="C34" s="352"/>
      <c r="D34" s="353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 ht="30">
      <c r="B35" s="1" t="s">
        <v>0</v>
      </c>
      <c r="C35" s="2" t="s">
        <v>1</v>
      </c>
      <c r="D35" s="3" t="s">
        <v>2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4</v>
      </c>
      <c r="C36" s="132">
        <v>80612</v>
      </c>
      <c r="D36" s="67">
        <v>2462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3</v>
      </c>
      <c r="C37" s="132">
        <v>28376</v>
      </c>
      <c r="D37" s="267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101</v>
      </c>
      <c r="C38" s="132">
        <v>16470</v>
      </c>
      <c r="D38" s="267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97</v>
      </c>
      <c r="C39" s="132">
        <v>3249</v>
      </c>
      <c r="D39" s="267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102</v>
      </c>
      <c r="C40" s="132">
        <v>91</v>
      </c>
      <c r="D40" s="64">
        <v>18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106</v>
      </c>
      <c r="C41" s="66">
        <v>0</v>
      </c>
      <c r="D41" s="64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>
      <c r="B42" s="4" t="s">
        <v>5</v>
      </c>
      <c r="C42" s="66"/>
      <c r="D42" s="64">
        <v>10467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5.75" thickBot="1">
      <c r="B43" s="5" t="s">
        <v>6</v>
      </c>
      <c r="C43" s="6">
        <f>SUM(C36:C42)</f>
        <v>128798</v>
      </c>
      <c r="D43" s="7">
        <f>SUM(D36:D42)</f>
        <v>12947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>
      <c r="E44" s="48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 ht="15.75" thickBot="1"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49" t="s">
        <v>0</v>
      </c>
      <c r="C46" s="50" t="s">
        <v>1</v>
      </c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2:25">
      <c r="B47" s="4" t="s">
        <v>4</v>
      </c>
      <c r="C47" s="132">
        <f>C36</f>
        <v>80612</v>
      </c>
    </row>
    <row r="48" spans="2:25">
      <c r="B48" s="4" t="s">
        <v>3</v>
      </c>
      <c r="C48" s="132">
        <f>+C37</f>
        <v>28376</v>
      </c>
    </row>
    <row r="49" spans="2:4">
      <c r="B49" s="4" t="s">
        <v>101</v>
      </c>
      <c r="C49" s="132">
        <f>C38</f>
        <v>16470</v>
      </c>
    </row>
    <row r="50" spans="2:4">
      <c r="B50" s="4" t="s">
        <v>97</v>
      </c>
      <c r="C50" s="132">
        <f>+C39</f>
        <v>3249</v>
      </c>
    </row>
    <row r="51" spans="2:4">
      <c r="B51" s="4" t="s">
        <v>102</v>
      </c>
      <c r="C51" s="132">
        <f>+C40</f>
        <v>91</v>
      </c>
    </row>
    <row r="52" spans="2:4" ht="15.75" thickBot="1">
      <c r="B52" s="4" t="s">
        <v>106</v>
      </c>
      <c r="C52" s="66">
        <f>+C41</f>
        <v>0</v>
      </c>
      <c r="D52" t="s">
        <v>95</v>
      </c>
    </row>
    <row r="53" spans="2:4" ht="15.75" thickBot="1">
      <c r="B53" s="241" t="s">
        <v>6</v>
      </c>
      <c r="C53" s="242">
        <f>SUM(C47:C52)</f>
        <v>128798</v>
      </c>
    </row>
    <row r="55" spans="2:4" ht="15.75" thickBot="1"/>
    <row r="56" spans="2:4" ht="24.75" customHeight="1">
      <c r="B56" s="49" t="s">
        <v>0</v>
      </c>
      <c r="C56" s="74" t="s">
        <v>2</v>
      </c>
    </row>
    <row r="57" spans="2:4">
      <c r="B57" s="4" t="s">
        <v>5</v>
      </c>
      <c r="C57" s="154">
        <f>D42</f>
        <v>10467</v>
      </c>
    </row>
    <row r="58" spans="2:4">
      <c r="B58" s="80" t="s">
        <v>4</v>
      </c>
      <c r="C58" s="154">
        <f>+D36</f>
        <v>2462</v>
      </c>
    </row>
    <row r="59" spans="2:4">
      <c r="B59" s="80" t="s">
        <v>119</v>
      </c>
      <c r="C59" s="154">
        <f>+D40</f>
        <v>18</v>
      </c>
    </row>
    <row r="60" spans="2:4" ht="15.75" thickBot="1">
      <c r="B60" s="5" t="s">
        <v>6</v>
      </c>
      <c r="C60" s="7">
        <f>SUM(C57:C59)</f>
        <v>12947</v>
      </c>
    </row>
    <row r="61" spans="2:4">
      <c r="D61" s="48"/>
    </row>
  </sheetData>
  <mergeCells count="2">
    <mergeCell ref="B1:D1"/>
    <mergeCell ref="B34:D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69"/>
  <sheetViews>
    <sheetView topLeftCell="A129" zoomScale="90" zoomScaleNormal="90" workbookViewId="0">
      <selection activeCell="A70" sqref="A70"/>
    </sheetView>
  </sheetViews>
  <sheetFormatPr baseColWidth="10" defaultRowHeight="15"/>
  <cols>
    <col min="2" max="2" width="25.7109375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80" t="s">
        <v>181</v>
      </c>
      <c r="C2" s="381"/>
      <c r="D2" s="381"/>
      <c r="E2" s="381"/>
      <c r="F2" s="382"/>
    </row>
    <row r="3" spans="2:6" ht="30">
      <c r="B3" s="355" t="s">
        <v>7</v>
      </c>
      <c r="C3" s="356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65" t="s">
        <v>95</v>
      </c>
      <c r="F4" s="155">
        <v>10467</v>
      </c>
    </row>
    <row r="5" spans="2:6">
      <c r="B5" s="4" t="s">
        <v>176</v>
      </c>
      <c r="C5" s="18" t="s">
        <v>175</v>
      </c>
      <c r="D5" s="18" t="s">
        <v>11</v>
      </c>
      <c r="E5" s="65" t="s">
        <v>95</v>
      </c>
      <c r="F5" s="155">
        <v>9</v>
      </c>
    </row>
    <row r="6" spans="2:6">
      <c r="B6" s="4" t="s">
        <v>128</v>
      </c>
      <c r="C6" s="18" t="s">
        <v>133</v>
      </c>
      <c r="D6" s="18" t="s">
        <v>134</v>
      </c>
      <c r="E6" s="65" t="s">
        <v>95</v>
      </c>
      <c r="F6" s="155">
        <v>2462</v>
      </c>
    </row>
    <row r="7" spans="2:6">
      <c r="B7" s="4" t="s">
        <v>149</v>
      </c>
      <c r="C7" s="18" t="s">
        <v>147</v>
      </c>
      <c r="D7" s="18" t="s">
        <v>148</v>
      </c>
      <c r="E7" s="65" t="s">
        <v>95</v>
      </c>
      <c r="F7" s="155" t="s">
        <v>95</v>
      </c>
    </row>
    <row r="8" spans="2:6">
      <c r="B8" s="4" t="s">
        <v>18</v>
      </c>
      <c r="C8" s="18" t="s">
        <v>19</v>
      </c>
      <c r="D8" s="18" t="s">
        <v>20</v>
      </c>
      <c r="E8" s="87">
        <v>98660</v>
      </c>
      <c r="F8" s="73" t="s">
        <v>95</v>
      </c>
    </row>
    <row r="9" spans="2:6">
      <c r="B9" s="4" t="s">
        <v>24</v>
      </c>
      <c r="C9" s="18" t="s">
        <v>25</v>
      </c>
      <c r="D9" s="18" t="s">
        <v>26</v>
      </c>
      <c r="E9" s="87">
        <v>8720</v>
      </c>
      <c r="F9" s="73" t="s">
        <v>95</v>
      </c>
    </row>
    <row r="10" spans="2:6">
      <c r="B10" s="4" t="s">
        <v>21</v>
      </c>
      <c r="C10" s="18" t="s">
        <v>22</v>
      </c>
      <c r="D10" s="18" t="s">
        <v>23</v>
      </c>
      <c r="E10" s="87">
        <v>10885</v>
      </c>
      <c r="F10" s="73" t="s">
        <v>95</v>
      </c>
    </row>
    <row r="11" spans="2:6">
      <c r="B11" s="4" t="s">
        <v>15</v>
      </c>
      <c r="C11" s="18" t="s">
        <v>16</v>
      </c>
      <c r="D11" s="18" t="s">
        <v>17</v>
      </c>
      <c r="E11" s="87">
        <v>7626</v>
      </c>
      <c r="F11" s="73" t="s">
        <v>95</v>
      </c>
    </row>
    <row r="12" spans="2:6">
      <c r="B12" s="4" t="s">
        <v>157</v>
      </c>
      <c r="C12" s="18" t="s">
        <v>160</v>
      </c>
      <c r="D12" s="18" t="s">
        <v>161</v>
      </c>
      <c r="E12" s="87"/>
      <c r="F12" s="73"/>
    </row>
    <row r="13" spans="2:6">
      <c r="B13" s="4" t="s">
        <v>158</v>
      </c>
      <c r="C13" s="18" t="s">
        <v>162</v>
      </c>
      <c r="D13" s="18" t="s">
        <v>163</v>
      </c>
      <c r="E13" s="87"/>
      <c r="F13" s="73"/>
    </row>
    <row r="14" spans="2:6">
      <c r="B14" s="4" t="s">
        <v>27</v>
      </c>
      <c r="C14" s="18" t="s">
        <v>117</v>
      </c>
      <c r="D14" s="18" t="s">
        <v>103</v>
      </c>
      <c r="E14" s="87">
        <v>2464</v>
      </c>
      <c r="F14" s="73" t="s">
        <v>95</v>
      </c>
    </row>
    <row r="15" spans="2:6">
      <c r="B15" s="4" t="s">
        <v>159</v>
      </c>
      <c r="C15" s="18" t="s">
        <v>164</v>
      </c>
      <c r="D15" s="18" t="s">
        <v>165</v>
      </c>
      <c r="E15" s="87"/>
      <c r="F15" s="73"/>
    </row>
    <row r="16" spans="2:6">
      <c r="B16" s="4" t="s">
        <v>12</v>
      </c>
      <c r="C16" s="18" t="s">
        <v>13</v>
      </c>
      <c r="D16" s="18" t="s">
        <v>14</v>
      </c>
      <c r="E16" s="87"/>
      <c r="F16" s="73" t="s">
        <v>95</v>
      </c>
    </row>
    <row r="17" spans="2:6">
      <c r="B17" s="4" t="s">
        <v>152</v>
      </c>
      <c r="C17" s="18" t="s">
        <v>153</v>
      </c>
      <c r="D17" s="18" t="s">
        <v>155</v>
      </c>
      <c r="E17" s="87"/>
      <c r="F17" s="73"/>
    </row>
    <row r="18" spans="2:6">
      <c r="B18" s="4" t="s">
        <v>135</v>
      </c>
      <c r="C18" s="18" t="s">
        <v>154</v>
      </c>
      <c r="D18" s="18" t="s">
        <v>156</v>
      </c>
      <c r="E18" s="87"/>
      <c r="F18" s="73"/>
    </row>
    <row r="19" spans="2:6">
      <c r="B19" s="4" t="s">
        <v>12</v>
      </c>
      <c r="C19" s="18" t="s">
        <v>170</v>
      </c>
      <c r="D19" s="18" t="s">
        <v>171</v>
      </c>
      <c r="E19" s="87">
        <v>7</v>
      </c>
      <c r="F19" s="73"/>
    </row>
    <row r="20" spans="2:6" ht="15" customHeight="1">
      <c r="B20" s="4" t="s">
        <v>172</v>
      </c>
      <c r="C20" s="18" t="s">
        <v>173</v>
      </c>
      <c r="D20" s="18" t="s">
        <v>174</v>
      </c>
      <c r="E20" s="87"/>
      <c r="F20" s="73"/>
    </row>
    <row r="21" spans="2:6">
      <c r="B21" s="4" t="s">
        <v>127</v>
      </c>
      <c r="C21" s="18" t="s">
        <v>129</v>
      </c>
      <c r="D21" s="18" t="s">
        <v>130</v>
      </c>
      <c r="E21" s="87"/>
      <c r="F21" s="73" t="s">
        <v>95</v>
      </c>
    </row>
    <row r="22" spans="2:6">
      <c r="B22" s="4" t="s">
        <v>116</v>
      </c>
      <c r="C22" s="18" t="s">
        <v>115</v>
      </c>
      <c r="D22" s="18" t="s">
        <v>114</v>
      </c>
      <c r="E22" s="87"/>
      <c r="F22" s="73" t="s">
        <v>95</v>
      </c>
    </row>
    <row r="23" spans="2:6">
      <c r="B23" s="4" t="s">
        <v>126</v>
      </c>
      <c r="C23" s="18" t="s">
        <v>188</v>
      </c>
      <c r="D23" s="18" t="s">
        <v>132</v>
      </c>
      <c r="E23" s="87">
        <v>8</v>
      </c>
      <c r="F23" s="73"/>
    </row>
    <row r="24" spans="2:6">
      <c r="B24" s="4" t="s">
        <v>166</v>
      </c>
      <c r="C24" s="18" t="s">
        <v>168</v>
      </c>
      <c r="D24" s="18" t="s">
        <v>167</v>
      </c>
      <c r="E24" s="87"/>
      <c r="F24" s="73"/>
    </row>
    <row r="25" spans="2:6">
      <c r="B25" s="4" t="s">
        <v>126</v>
      </c>
      <c r="C25" s="18" t="s">
        <v>131</v>
      </c>
      <c r="D25" s="18" t="s">
        <v>132</v>
      </c>
      <c r="E25" s="87"/>
      <c r="F25" s="73" t="s">
        <v>95</v>
      </c>
    </row>
    <row r="26" spans="2:6">
      <c r="B26" s="80" t="s">
        <v>123</v>
      </c>
      <c r="C26" s="156" t="s">
        <v>143</v>
      </c>
      <c r="D26" s="156" t="s">
        <v>142</v>
      </c>
      <c r="E26" s="87">
        <v>5</v>
      </c>
      <c r="F26" s="73"/>
    </row>
    <row r="27" spans="2:6">
      <c r="B27" s="80" t="s">
        <v>140</v>
      </c>
      <c r="C27" s="156" t="s">
        <v>144</v>
      </c>
      <c r="D27" s="156" t="s">
        <v>139</v>
      </c>
      <c r="E27" s="87">
        <v>8</v>
      </c>
      <c r="F27" s="73"/>
    </row>
    <row r="28" spans="2:6">
      <c r="B28" s="80" t="s">
        <v>141</v>
      </c>
      <c r="C28" s="156" t="s">
        <v>145</v>
      </c>
      <c r="D28" s="156" t="s">
        <v>146</v>
      </c>
      <c r="E28" s="87"/>
      <c r="F28" s="73"/>
    </row>
    <row r="29" spans="2:6" ht="15.75" thickBot="1">
      <c r="B29" s="80" t="s">
        <v>105</v>
      </c>
      <c r="C29" s="156" t="s">
        <v>113</v>
      </c>
      <c r="D29" s="156" t="s">
        <v>104</v>
      </c>
      <c r="E29" s="87">
        <v>2</v>
      </c>
      <c r="F29" s="73" t="s">
        <v>95</v>
      </c>
    </row>
    <row r="30" spans="2:6" ht="15.75" thickBot="1">
      <c r="B30" s="383"/>
      <c r="C30" s="384"/>
      <c r="D30" s="386" t="s">
        <v>6</v>
      </c>
      <c r="E30" s="193">
        <f>SUM(E8:E29)</f>
        <v>128385</v>
      </c>
      <c r="F30" s="193">
        <f>SUM(F4:F29)</f>
        <v>12938</v>
      </c>
    </row>
    <row r="31" spans="2:6" ht="15.75" thickBot="1">
      <c r="B31" s="378"/>
      <c r="C31" s="385"/>
      <c r="D31" s="387"/>
      <c r="E31" s="388">
        <f>SUM(E30:F30)</f>
        <v>141323</v>
      </c>
      <c r="F31" s="389"/>
    </row>
    <row r="35" spans="2:6">
      <c r="B35" s="15" t="s">
        <v>29</v>
      </c>
      <c r="C35" s="16" t="s">
        <v>1</v>
      </c>
      <c r="D35" s="313" t="s">
        <v>150</v>
      </c>
      <c r="E35" s="68"/>
      <c r="F35" s="68"/>
    </row>
    <row r="36" spans="2:6">
      <c r="B36" s="18" t="s">
        <v>20</v>
      </c>
      <c r="C36" s="87">
        <f>+E8+E16</f>
        <v>98660</v>
      </c>
      <c r="D36" s="315">
        <f>(C36/$C$42)*100%</f>
        <v>0.76846983681894299</v>
      </c>
      <c r="E36" s="77"/>
      <c r="F36" s="68"/>
    </row>
    <row r="37" spans="2:6">
      <c r="B37" s="18" t="s">
        <v>26</v>
      </c>
      <c r="C37" s="87">
        <f>+E9</f>
        <v>8720</v>
      </c>
      <c r="D37" s="315">
        <f t="shared" ref="D37:D41" si="0">(C37/$C$42)*100%</f>
        <v>6.7920707247731429E-2</v>
      </c>
      <c r="E37" s="77"/>
      <c r="F37" s="77"/>
    </row>
    <row r="38" spans="2:6">
      <c r="B38" s="18" t="s">
        <v>23</v>
      </c>
      <c r="C38" s="87">
        <f>+E10</f>
        <v>10885</v>
      </c>
      <c r="D38" s="315">
        <f t="shared" si="0"/>
        <v>8.4784047980683105E-2</v>
      </c>
      <c r="E38" s="68"/>
      <c r="F38" s="77"/>
    </row>
    <row r="39" spans="2:6">
      <c r="B39" s="18" t="s">
        <v>17</v>
      </c>
      <c r="C39" s="87">
        <f>+E11</f>
        <v>7626</v>
      </c>
      <c r="D39" s="315">
        <f t="shared" si="0"/>
        <v>5.9399462554036685E-2</v>
      </c>
      <c r="E39" s="68"/>
      <c r="F39" s="77"/>
    </row>
    <row r="40" spans="2:6">
      <c r="B40" s="18" t="s">
        <v>103</v>
      </c>
      <c r="C40" s="87">
        <f>+E14</f>
        <v>2464</v>
      </c>
      <c r="D40" s="315">
        <f t="shared" si="0"/>
        <v>1.9192273240643376E-2</v>
      </c>
      <c r="E40" s="68"/>
      <c r="F40" s="68"/>
    </row>
    <row r="41" spans="2:6">
      <c r="B41" s="18" t="s">
        <v>93</v>
      </c>
      <c r="C41" s="87">
        <f>+E15+E17+E20+E26+E27+E29+E12+E23+E19</f>
        <v>30</v>
      </c>
      <c r="D41" s="315">
        <f t="shared" si="0"/>
        <v>2.3367215796237878E-4</v>
      </c>
      <c r="E41" s="68"/>
      <c r="F41" s="68"/>
    </row>
    <row r="42" spans="2:6">
      <c r="C42" s="339">
        <f>SUM(C36:C41)</f>
        <v>128385</v>
      </c>
      <c r="D42" s="340">
        <f>SUM(D36:D41)</f>
        <v>1</v>
      </c>
      <c r="E42" s="68"/>
      <c r="F42" s="77"/>
    </row>
    <row r="43" spans="2:6">
      <c r="E43" s="68"/>
      <c r="F43" s="77"/>
    </row>
    <row r="44" spans="2:6" ht="15.75" thickBot="1">
      <c r="E44" s="68"/>
      <c r="F44" s="77"/>
    </row>
    <row r="45" spans="2:6">
      <c r="B45" s="197" t="s">
        <v>29</v>
      </c>
      <c r="C45" s="314" t="s">
        <v>2</v>
      </c>
      <c r="D45" s="313" t="s">
        <v>150</v>
      </c>
      <c r="E45" s="68"/>
      <c r="F45" s="77"/>
    </row>
    <row r="46" spans="2:6">
      <c r="B46" s="4" t="s">
        <v>11</v>
      </c>
      <c r="C46" s="87">
        <f>+F4</f>
        <v>10467</v>
      </c>
      <c r="D46" s="317">
        <f>(C46/C49)*100%</f>
        <v>0.80901221208842167</v>
      </c>
      <c r="E46" s="68"/>
      <c r="F46" s="77"/>
    </row>
    <row r="47" spans="2:6">
      <c r="B47" s="18" t="s">
        <v>134</v>
      </c>
      <c r="C47" s="87">
        <f>+F6</f>
        <v>2462</v>
      </c>
      <c r="D47" s="317">
        <f>(C47/C49)*100%</f>
        <v>0.19029216262173443</v>
      </c>
      <c r="E47" s="68"/>
      <c r="F47" s="77"/>
    </row>
    <row r="48" spans="2:6" ht="15.75" thickBot="1">
      <c r="B48" s="19" t="s">
        <v>11</v>
      </c>
      <c r="C48" s="87">
        <f>+F5</f>
        <v>9</v>
      </c>
      <c r="D48" s="317">
        <f>(C48/C49)*100%</f>
        <v>6.9562528984387076E-4</v>
      </c>
    </row>
    <row r="49" spans="2:6">
      <c r="C49" s="339">
        <f>SUM(C46:C48)</f>
        <v>12938</v>
      </c>
      <c r="D49" s="340">
        <f>SUM(D46:D48)</f>
        <v>1</v>
      </c>
    </row>
    <row r="51" spans="2:6" ht="15.75" thickBot="1"/>
    <row r="52" spans="2:6" ht="37.5" customHeight="1">
      <c r="B52" s="373" t="s">
        <v>182</v>
      </c>
      <c r="C52" s="374"/>
      <c r="D52" s="374"/>
      <c r="E52" s="374"/>
      <c r="F52" s="375"/>
    </row>
    <row r="53" spans="2:6" ht="35.25" customHeight="1">
      <c r="B53" s="355" t="s">
        <v>7</v>
      </c>
      <c r="C53" s="356"/>
      <c r="D53" s="15" t="s">
        <v>8</v>
      </c>
      <c r="E53" s="16" t="s">
        <v>1</v>
      </c>
      <c r="F53" s="17" t="s">
        <v>2</v>
      </c>
    </row>
    <row r="54" spans="2:6">
      <c r="B54" s="4" t="s">
        <v>9</v>
      </c>
      <c r="C54" s="18" t="s">
        <v>10</v>
      </c>
      <c r="D54" s="18" t="s">
        <v>11</v>
      </c>
      <c r="E54" s="65" t="s">
        <v>95</v>
      </c>
      <c r="F54" s="155">
        <v>8744</v>
      </c>
    </row>
    <row r="55" spans="2:6">
      <c r="B55" s="4" t="s">
        <v>128</v>
      </c>
      <c r="C55" s="18" t="s">
        <v>133</v>
      </c>
      <c r="D55" s="18" t="s">
        <v>134</v>
      </c>
      <c r="E55" s="65" t="s">
        <v>95</v>
      </c>
      <c r="F55" s="155">
        <v>1644</v>
      </c>
    </row>
    <row r="56" spans="2:6">
      <c r="B56" s="4" t="s">
        <v>149</v>
      </c>
      <c r="C56" s="18" t="s">
        <v>147</v>
      </c>
      <c r="D56" s="18" t="s">
        <v>148</v>
      </c>
      <c r="E56" s="65" t="s">
        <v>95</v>
      </c>
      <c r="F56" s="155" t="s">
        <v>95</v>
      </c>
    </row>
    <row r="57" spans="2:6">
      <c r="B57" s="4" t="s">
        <v>18</v>
      </c>
      <c r="C57" s="18" t="s">
        <v>19</v>
      </c>
      <c r="D57" s="18" t="s">
        <v>20</v>
      </c>
      <c r="E57" s="87">
        <v>76949</v>
      </c>
      <c r="F57" s="155">
        <v>13650</v>
      </c>
    </row>
    <row r="58" spans="2:6">
      <c r="B58" s="4" t="s">
        <v>24</v>
      </c>
      <c r="C58" s="18" t="s">
        <v>25</v>
      </c>
      <c r="D58" s="18" t="s">
        <v>26</v>
      </c>
      <c r="E58" s="87">
        <v>5607</v>
      </c>
      <c r="F58" s="155">
        <v>736</v>
      </c>
    </row>
    <row r="59" spans="2:6">
      <c r="B59" s="4" t="s">
        <v>21</v>
      </c>
      <c r="C59" s="18" t="s">
        <v>22</v>
      </c>
      <c r="D59" s="18" t="s">
        <v>23</v>
      </c>
      <c r="E59" s="87">
        <v>11010</v>
      </c>
      <c r="F59" s="155">
        <v>47</v>
      </c>
    </row>
    <row r="60" spans="2:6">
      <c r="B60" s="4" t="s">
        <v>15</v>
      </c>
      <c r="C60" s="18" t="s">
        <v>16</v>
      </c>
      <c r="D60" s="18" t="s">
        <v>17</v>
      </c>
      <c r="E60" s="87">
        <v>2868</v>
      </c>
      <c r="F60" s="73" t="s">
        <v>95</v>
      </c>
    </row>
    <row r="61" spans="2:6">
      <c r="B61" s="4" t="s">
        <v>27</v>
      </c>
      <c r="C61" s="18" t="s">
        <v>117</v>
      </c>
      <c r="D61" s="18" t="s">
        <v>103</v>
      </c>
      <c r="E61" s="87">
        <v>2527</v>
      </c>
      <c r="F61" s="73" t="s">
        <v>95</v>
      </c>
    </row>
    <row r="62" spans="2:6">
      <c r="B62" s="4" t="s">
        <v>12</v>
      </c>
      <c r="C62" s="18" t="s">
        <v>13</v>
      </c>
      <c r="D62" s="18" t="s">
        <v>14</v>
      </c>
      <c r="E62" s="87">
        <v>6</v>
      </c>
      <c r="F62" s="73" t="s">
        <v>95</v>
      </c>
    </row>
    <row r="63" spans="2:6">
      <c r="B63" s="4" t="s">
        <v>152</v>
      </c>
      <c r="C63" s="18" t="s">
        <v>153</v>
      </c>
      <c r="D63" s="18" t="s">
        <v>155</v>
      </c>
      <c r="E63" s="87">
        <v>72</v>
      </c>
      <c r="F63" s="73"/>
    </row>
    <row r="64" spans="2:6">
      <c r="B64" s="4" t="s">
        <v>135</v>
      </c>
      <c r="C64" s="18" t="s">
        <v>154</v>
      </c>
      <c r="D64" s="18" t="s">
        <v>156</v>
      </c>
      <c r="E64" s="87"/>
      <c r="F64" s="73"/>
    </row>
    <row r="65" spans="2:6">
      <c r="B65" s="4" t="s">
        <v>190</v>
      </c>
      <c r="C65" s="18" t="s">
        <v>192</v>
      </c>
      <c r="D65" s="18" t="s">
        <v>191</v>
      </c>
      <c r="E65" s="87"/>
      <c r="F65" s="155">
        <v>3</v>
      </c>
    </row>
    <row r="66" spans="2:6" ht="14.25" customHeight="1">
      <c r="B66" s="4" t="s">
        <v>127</v>
      </c>
      <c r="C66" s="18" t="s">
        <v>129</v>
      </c>
      <c r="D66" s="18" t="s">
        <v>130</v>
      </c>
      <c r="E66" s="87"/>
      <c r="F66" s="73" t="s">
        <v>95</v>
      </c>
    </row>
    <row r="67" spans="2:6" ht="14.25" customHeight="1">
      <c r="B67" s="4" t="s">
        <v>116</v>
      </c>
      <c r="C67" s="18" t="s">
        <v>115</v>
      </c>
      <c r="D67" s="18" t="s">
        <v>114</v>
      </c>
      <c r="E67" s="87"/>
      <c r="F67" s="73" t="s">
        <v>95</v>
      </c>
    </row>
    <row r="68" spans="2:6" ht="14.25" customHeight="1">
      <c r="B68" s="4" t="s">
        <v>126</v>
      </c>
      <c r="C68" s="18" t="s">
        <v>131</v>
      </c>
      <c r="D68" s="18" t="s">
        <v>132</v>
      </c>
      <c r="E68" s="87"/>
      <c r="F68" s="73" t="s">
        <v>95</v>
      </c>
    </row>
    <row r="69" spans="2:6" ht="14.25" customHeight="1">
      <c r="B69" s="80" t="s">
        <v>123</v>
      </c>
      <c r="C69" s="156" t="s">
        <v>143</v>
      </c>
      <c r="D69" s="156" t="s">
        <v>142</v>
      </c>
      <c r="E69" s="87"/>
      <c r="F69" s="73"/>
    </row>
    <row r="70" spans="2:6" ht="14.25" customHeight="1">
      <c r="B70" s="80" t="s">
        <v>116</v>
      </c>
      <c r="C70" s="156" t="s">
        <v>189</v>
      </c>
      <c r="D70" s="156" t="s">
        <v>163</v>
      </c>
      <c r="E70" s="87">
        <v>9</v>
      </c>
      <c r="F70" s="73"/>
    </row>
    <row r="71" spans="2:6" ht="14.25" customHeight="1">
      <c r="B71" s="80" t="s">
        <v>140</v>
      </c>
      <c r="C71" s="156" t="s">
        <v>144</v>
      </c>
      <c r="D71" s="156" t="s">
        <v>139</v>
      </c>
      <c r="E71" s="87">
        <v>4</v>
      </c>
      <c r="F71" s="73"/>
    </row>
    <row r="72" spans="2:6" ht="14.25" customHeight="1">
      <c r="B72" s="80" t="s">
        <v>141</v>
      </c>
      <c r="C72" s="156" t="s">
        <v>145</v>
      </c>
      <c r="D72" s="156" t="s">
        <v>146</v>
      </c>
      <c r="E72" s="87"/>
      <c r="F72" s="73"/>
    </row>
    <row r="73" spans="2:6" ht="14.25" customHeight="1">
      <c r="B73" s="80" t="s">
        <v>105</v>
      </c>
      <c r="C73" s="156" t="s">
        <v>113</v>
      </c>
      <c r="D73" s="156" t="s">
        <v>104</v>
      </c>
      <c r="E73" s="87"/>
      <c r="F73" s="73" t="s">
        <v>95</v>
      </c>
    </row>
    <row r="74" spans="2:6" ht="15.75" thickBot="1">
      <c r="B74" s="376"/>
      <c r="C74" s="377"/>
      <c r="D74" s="357" t="s">
        <v>6</v>
      </c>
      <c r="E74" s="318">
        <f>SUM(E57:E73)</f>
        <v>99052</v>
      </c>
      <c r="F74" s="318">
        <f>SUM(F54:F73)</f>
        <v>24824</v>
      </c>
    </row>
    <row r="75" spans="2:6" ht="15.75" thickBot="1">
      <c r="B75" s="378"/>
      <c r="C75" s="379"/>
      <c r="D75" s="358"/>
      <c r="E75" s="368">
        <f>SUM(E74:F74)</f>
        <v>123876</v>
      </c>
      <c r="F75" s="369"/>
    </row>
    <row r="77" spans="2:6">
      <c r="F77" s="77"/>
    </row>
    <row r="78" spans="2:6">
      <c r="B78" s="15" t="s">
        <v>29</v>
      </c>
      <c r="C78" s="16" t="s">
        <v>1</v>
      </c>
      <c r="D78" s="313" t="s">
        <v>150</v>
      </c>
      <c r="E78" s="69"/>
      <c r="F78" s="77"/>
    </row>
    <row r="79" spans="2:6">
      <c r="B79" s="18" t="s">
        <v>20</v>
      </c>
      <c r="C79" s="87">
        <f>+E57+E62</f>
        <v>76955</v>
      </c>
      <c r="D79" s="315">
        <f>(C79/$C$42)*100%</f>
        <v>0.59940803053316194</v>
      </c>
      <c r="E79" s="69"/>
      <c r="F79" s="69"/>
    </row>
    <row r="80" spans="2:6">
      <c r="B80" s="18" t="s">
        <v>26</v>
      </c>
      <c r="C80" s="87">
        <f>+E58</f>
        <v>5607</v>
      </c>
      <c r="D80" s="315">
        <f t="shared" ref="D80:D84" si="1">(C80/$C$42)*100%</f>
        <v>4.3673326323168594E-2</v>
      </c>
      <c r="E80" s="69"/>
      <c r="F80" s="69"/>
    </row>
    <row r="81" spans="2:6" ht="19.5" customHeight="1">
      <c r="B81" s="18" t="s">
        <v>23</v>
      </c>
      <c r="C81" s="87">
        <f>+E59</f>
        <v>11010</v>
      </c>
      <c r="D81" s="315">
        <f t="shared" si="1"/>
        <v>8.5757681972193009E-2</v>
      </c>
      <c r="E81" s="69"/>
      <c r="F81" s="69"/>
    </row>
    <row r="82" spans="2:6" ht="19.5" customHeight="1">
      <c r="B82" s="18" t="s">
        <v>17</v>
      </c>
      <c r="C82" s="87">
        <f>+E60</f>
        <v>2868</v>
      </c>
      <c r="D82" s="315">
        <f t="shared" si="1"/>
        <v>2.2339058301203411E-2</v>
      </c>
      <c r="E82" s="69"/>
      <c r="F82" s="69"/>
    </row>
    <row r="83" spans="2:6">
      <c r="B83" s="18" t="s">
        <v>103</v>
      </c>
      <c r="C83" s="87">
        <f>+E61</f>
        <v>2527</v>
      </c>
      <c r="D83" s="315">
        <f t="shared" si="1"/>
        <v>1.9682984772364374E-2</v>
      </c>
      <c r="E83" s="69"/>
      <c r="F83" s="69"/>
    </row>
    <row r="84" spans="2:6">
      <c r="B84" s="18" t="s">
        <v>93</v>
      </c>
      <c r="C84" s="87">
        <f>+E63+E70+E71</f>
        <v>85</v>
      </c>
      <c r="D84" s="315">
        <f t="shared" si="1"/>
        <v>6.6207111422673991E-4</v>
      </c>
      <c r="E84" s="55"/>
      <c r="F84" s="55"/>
    </row>
    <row r="85" spans="2:6">
      <c r="C85" s="339">
        <f>SUM(C79:C84)</f>
        <v>99052</v>
      </c>
      <c r="D85" s="345">
        <f>SUM(D79:D84)</f>
        <v>0.77152315301631813</v>
      </c>
      <c r="E85" s="55"/>
      <c r="F85" s="55"/>
    </row>
    <row r="86" spans="2:6">
      <c r="E86" s="55"/>
      <c r="F86" s="55"/>
    </row>
    <row r="87" spans="2:6" ht="15.75" thickBot="1">
      <c r="E87" s="70"/>
      <c r="F87" s="55"/>
    </row>
    <row r="88" spans="2:6">
      <c r="B88" s="197" t="s">
        <v>29</v>
      </c>
      <c r="C88" s="314" t="s">
        <v>2</v>
      </c>
      <c r="D88" s="313" t="s">
        <v>150</v>
      </c>
      <c r="E88" s="70"/>
      <c r="F88" s="70"/>
    </row>
    <row r="89" spans="2:6">
      <c r="B89" s="4" t="s">
        <v>11</v>
      </c>
      <c r="C89" s="87">
        <f>+F54</f>
        <v>8744</v>
      </c>
      <c r="D89" s="317">
        <f>(C89/C92)*100%</f>
        <v>0.35223976796648404</v>
      </c>
      <c r="E89" s="70"/>
      <c r="F89" s="70"/>
    </row>
    <row r="90" spans="2:6">
      <c r="B90" s="18" t="s">
        <v>134</v>
      </c>
      <c r="C90" s="87">
        <f>+F55</f>
        <v>1644</v>
      </c>
      <c r="D90" s="317">
        <f>(C90/C92)*100%</f>
        <v>6.6226232678053498E-2</v>
      </c>
      <c r="E90" s="70"/>
      <c r="F90" s="70"/>
    </row>
    <row r="91" spans="2:6" ht="15.75" thickBot="1">
      <c r="B91" s="19" t="s">
        <v>93</v>
      </c>
      <c r="C91" s="87">
        <f>+F57+F58+F59+F65</f>
        <v>14436</v>
      </c>
      <c r="D91" s="317">
        <f>(C91/C92)*100%</f>
        <v>0.58153399935546246</v>
      </c>
      <c r="E91" s="71"/>
      <c r="F91" s="71"/>
    </row>
    <row r="92" spans="2:6">
      <c r="C92" s="339">
        <f>SUM(C89:C91)</f>
        <v>24824</v>
      </c>
      <c r="D92" s="340">
        <f>SUM(D89:D91)</f>
        <v>1</v>
      </c>
      <c r="E92" s="71"/>
      <c r="F92" s="71"/>
    </row>
    <row r="93" spans="2:6">
      <c r="E93" s="71"/>
      <c r="F93" s="71"/>
    </row>
    <row r="94" spans="2:6" ht="15.75" thickBot="1">
      <c r="F94" s="71"/>
    </row>
    <row r="95" spans="2:6" ht="26.25" customHeight="1" thickBot="1">
      <c r="B95" s="370" t="s">
        <v>183</v>
      </c>
      <c r="C95" s="371"/>
      <c r="D95" s="371"/>
      <c r="E95" s="372"/>
    </row>
    <row r="96" spans="2:6" ht="30.75" thickBot="1">
      <c r="B96" s="305" t="s">
        <v>28</v>
      </c>
      <c r="C96" s="306" t="s">
        <v>0</v>
      </c>
      <c r="D96" s="307" t="s">
        <v>29</v>
      </c>
      <c r="E96" s="308" t="s">
        <v>8</v>
      </c>
    </row>
    <row r="97" spans="2:6">
      <c r="B97" s="258" t="s">
        <v>30</v>
      </c>
      <c r="C97" s="259" t="s">
        <v>3</v>
      </c>
      <c r="D97" s="260">
        <v>177</v>
      </c>
      <c r="E97" s="261">
        <v>177</v>
      </c>
      <c r="F97" s="8"/>
    </row>
    <row r="98" spans="2:6">
      <c r="B98" s="4" t="s">
        <v>31</v>
      </c>
      <c r="C98" s="18" t="s">
        <v>4</v>
      </c>
      <c r="D98" s="87">
        <v>496</v>
      </c>
      <c r="E98" s="155">
        <v>499</v>
      </c>
      <c r="F98" s="8"/>
    </row>
    <row r="99" spans="2:6">
      <c r="B99" s="4" t="s">
        <v>5</v>
      </c>
      <c r="C99" s="18" t="s">
        <v>5</v>
      </c>
      <c r="D99" s="87">
        <v>65</v>
      </c>
      <c r="E99" s="155">
        <v>66</v>
      </c>
      <c r="F99" s="8"/>
    </row>
    <row r="100" spans="2:6">
      <c r="B100" s="4" t="s">
        <v>97</v>
      </c>
      <c r="C100" s="18" t="s">
        <v>97</v>
      </c>
      <c r="D100" s="87">
        <v>131</v>
      </c>
      <c r="E100" s="155">
        <v>132</v>
      </c>
      <c r="F100" s="8"/>
    </row>
    <row r="101" spans="2:6" ht="15.75" thickBot="1">
      <c r="B101" s="19" t="s">
        <v>112</v>
      </c>
      <c r="C101" s="262" t="s">
        <v>101</v>
      </c>
      <c r="D101" s="263">
        <v>104</v>
      </c>
      <c r="E101" s="198">
        <v>104</v>
      </c>
      <c r="F101" s="8"/>
    </row>
    <row r="102" spans="2:6" ht="15.75" thickBot="1">
      <c r="B102" s="359" t="s">
        <v>121</v>
      </c>
      <c r="C102" s="360"/>
      <c r="D102" s="248">
        <f>SUM(D97:D101)</f>
        <v>973</v>
      </c>
      <c r="E102" s="249">
        <f>SUM(E97:E101)</f>
        <v>978</v>
      </c>
      <c r="F102" s="8"/>
    </row>
    <row r="103" spans="2:6" ht="15.75" thickBot="1">
      <c r="B103" s="361"/>
      <c r="C103" s="362"/>
      <c r="D103" s="363">
        <f>+D102+E102</f>
        <v>1951</v>
      </c>
      <c r="E103" s="364"/>
      <c r="F103" s="8"/>
    </row>
    <row r="104" spans="2:6">
      <c r="B104" s="250" t="s">
        <v>102</v>
      </c>
      <c r="C104" s="251" t="s">
        <v>119</v>
      </c>
      <c r="D104" s="252">
        <v>145</v>
      </c>
      <c r="E104" s="253">
        <v>152</v>
      </c>
      <c r="F104" s="8"/>
    </row>
    <row r="105" spans="2:6" ht="15.75" thickBot="1">
      <c r="B105" s="254" t="s">
        <v>118</v>
      </c>
      <c r="C105" s="255" t="s">
        <v>120</v>
      </c>
      <c r="D105" s="256">
        <v>18</v>
      </c>
      <c r="E105" s="257">
        <v>18</v>
      </c>
      <c r="F105" s="8"/>
    </row>
    <row r="106" spans="2:6" ht="15.75" thickBot="1">
      <c r="B106" s="359" t="s">
        <v>122</v>
      </c>
      <c r="C106" s="360"/>
      <c r="D106" s="248">
        <f>SUM(D104:D105)</f>
        <v>163</v>
      </c>
      <c r="E106" s="249">
        <f>SUM(E104:E105)</f>
        <v>170</v>
      </c>
      <c r="F106" s="8"/>
    </row>
    <row r="107" spans="2:6" ht="20.25" customHeight="1" thickBot="1">
      <c r="B107" s="361"/>
      <c r="C107" s="362"/>
      <c r="D107" s="363">
        <f>+D106+E106</f>
        <v>333</v>
      </c>
      <c r="E107" s="364"/>
    </row>
    <row r="108" spans="2:6" ht="27.75" customHeight="1" thickBot="1">
      <c r="B108" s="365" t="s">
        <v>169</v>
      </c>
      <c r="C108" s="366"/>
      <c r="D108" s="367">
        <f>(D103+D107)</f>
        <v>2284</v>
      </c>
      <c r="E108" s="366"/>
    </row>
    <row r="109" spans="2:6" ht="15.75" thickBot="1">
      <c r="D109" s="48"/>
    </row>
    <row r="110" spans="2:6">
      <c r="B110" s="20" t="s">
        <v>0</v>
      </c>
      <c r="C110" s="21" t="s">
        <v>29</v>
      </c>
    </row>
    <row r="111" spans="2:6">
      <c r="B111" s="18" t="s">
        <v>4</v>
      </c>
      <c r="C111" s="72">
        <f>+D98</f>
        <v>496</v>
      </c>
      <c r="D111" s="61"/>
      <c r="E111" s="62"/>
    </row>
    <row r="112" spans="2:6">
      <c r="B112" s="18" t="s">
        <v>119</v>
      </c>
      <c r="C112" s="72">
        <f>+D104</f>
        <v>145</v>
      </c>
      <c r="D112" s="61"/>
      <c r="E112" s="62"/>
    </row>
    <row r="113" spans="2:5">
      <c r="B113" s="18" t="s">
        <v>3</v>
      </c>
      <c r="C113" s="72">
        <f>+D97</f>
        <v>177</v>
      </c>
      <c r="D113" s="61"/>
      <c r="E113" s="62"/>
    </row>
    <row r="114" spans="2:5">
      <c r="B114" s="18" t="s">
        <v>97</v>
      </c>
      <c r="C114" s="72">
        <f>+D100</f>
        <v>131</v>
      </c>
      <c r="D114" s="61"/>
      <c r="E114" s="62"/>
    </row>
    <row r="115" spans="2:5">
      <c r="B115" s="18" t="s">
        <v>101</v>
      </c>
      <c r="C115" s="72">
        <f>+D101</f>
        <v>104</v>
      </c>
      <c r="D115" s="61"/>
      <c r="E115" s="62"/>
    </row>
    <row r="116" spans="2:5">
      <c r="B116" s="18" t="s">
        <v>5</v>
      </c>
      <c r="C116" s="72">
        <f>+D99</f>
        <v>65</v>
      </c>
      <c r="D116" s="61"/>
      <c r="E116" s="62"/>
    </row>
    <row r="117" spans="2:5">
      <c r="B117" s="18" t="s">
        <v>120</v>
      </c>
      <c r="C117" s="72">
        <f>+D105</f>
        <v>18</v>
      </c>
      <c r="D117" s="61"/>
      <c r="E117" s="62"/>
    </row>
    <row r="118" spans="2:5">
      <c r="B118" s="54"/>
      <c r="C118" s="344">
        <f>SUM(C111:C117)</f>
        <v>1136</v>
      </c>
      <c r="D118" s="61"/>
      <c r="E118" s="62"/>
    </row>
    <row r="120" spans="2:5">
      <c r="B120" s="319" t="s">
        <v>0</v>
      </c>
      <c r="C120" s="2" t="s">
        <v>8</v>
      </c>
    </row>
    <row r="121" spans="2:5">
      <c r="B121" s="18" t="s">
        <v>4</v>
      </c>
      <c r="C121" s="72">
        <f>+E98</f>
        <v>499</v>
      </c>
    </row>
    <row r="122" spans="2:5">
      <c r="B122" s="18" t="s">
        <v>119</v>
      </c>
      <c r="C122" s="72">
        <f>+E104</f>
        <v>152</v>
      </c>
    </row>
    <row r="123" spans="2:5">
      <c r="B123" s="18" t="s">
        <v>3</v>
      </c>
      <c r="C123" s="72">
        <f>+E97</f>
        <v>177</v>
      </c>
    </row>
    <row r="124" spans="2:5">
      <c r="B124" s="18" t="s">
        <v>97</v>
      </c>
      <c r="C124" s="72">
        <f>+E100</f>
        <v>132</v>
      </c>
    </row>
    <row r="125" spans="2:5">
      <c r="B125" s="18" t="s">
        <v>101</v>
      </c>
      <c r="C125" s="72">
        <f>+E101</f>
        <v>104</v>
      </c>
    </row>
    <row r="126" spans="2:5">
      <c r="B126" s="18" t="s">
        <v>5</v>
      </c>
      <c r="C126" s="72">
        <f>+E99</f>
        <v>66</v>
      </c>
    </row>
    <row r="127" spans="2:5">
      <c r="B127" s="18" t="s">
        <v>120</v>
      </c>
      <c r="C127" s="72">
        <f>+E105</f>
        <v>18</v>
      </c>
    </row>
    <row r="128" spans="2:5">
      <c r="B128" s="54"/>
      <c r="C128" s="344">
        <f>SUM(C121:C127)</f>
        <v>1148</v>
      </c>
    </row>
    <row r="130" spans="2:4">
      <c r="B130" s="354" t="s">
        <v>32</v>
      </c>
      <c r="C130" s="354"/>
    </row>
    <row r="131" spans="2:4">
      <c r="B131" s="319" t="s">
        <v>0</v>
      </c>
      <c r="C131" s="320" t="s">
        <v>33</v>
      </c>
      <c r="D131" s="92"/>
    </row>
    <row r="132" spans="2:4">
      <c r="B132" s="18" t="s">
        <v>3</v>
      </c>
      <c r="C132" s="87">
        <f>C113+C123</f>
        <v>354</v>
      </c>
      <c r="D132" s="224"/>
    </row>
    <row r="133" spans="2:4">
      <c r="B133" s="18" t="s">
        <v>4</v>
      </c>
      <c r="C133" s="87">
        <f>C111+C121</f>
        <v>995</v>
      </c>
      <c r="D133" s="224"/>
    </row>
    <row r="134" spans="2:4">
      <c r="B134" s="18" t="s">
        <v>97</v>
      </c>
      <c r="C134" s="87">
        <f>C114+C124</f>
        <v>263</v>
      </c>
      <c r="D134" s="224"/>
    </row>
    <row r="135" spans="2:4">
      <c r="B135" s="18" t="s">
        <v>101</v>
      </c>
      <c r="C135" s="87">
        <f>C115+C125</f>
        <v>208</v>
      </c>
      <c r="D135" s="224"/>
    </row>
    <row r="136" spans="2:4">
      <c r="B136" s="18" t="s">
        <v>119</v>
      </c>
      <c r="C136" s="72">
        <f>C112+C122</f>
        <v>297</v>
      </c>
      <c r="D136" s="195"/>
    </row>
    <row r="137" spans="2:4">
      <c r="B137" s="18" t="s">
        <v>120</v>
      </c>
      <c r="C137" s="321">
        <f>C117+C127</f>
        <v>36</v>
      </c>
      <c r="D137" s="22"/>
    </row>
    <row r="138" spans="2:4">
      <c r="B138" s="316"/>
      <c r="C138" s="341">
        <f>SUM(C132:C137)</f>
        <v>2153</v>
      </c>
      <c r="D138" s="22"/>
    </row>
    <row r="139" spans="2:4">
      <c r="B139" s="54"/>
      <c r="C139" s="346"/>
      <c r="D139" s="22"/>
    </row>
    <row r="140" spans="2:4">
      <c r="B140" s="354" t="s">
        <v>34</v>
      </c>
      <c r="C140" s="354"/>
      <c r="D140" s="22"/>
    </row>
    <row r="141" spans="2:4" ht="14.25" customHeight="1">
      <c r="B141" s="319" t="s">
        <v>0</v>
      </c>
      <c r="C141" s="320" t="s">
        <v>33</v>
      </c>
      <c r="D141" s="322"/>
    </row>
    <row r="142" spans="2:4" ht="14.25" customHeight="1">
      <c r="B142" s="18" t="s">
        <v>5</v>
      </c>
      <c r="C142" s="72">
        <f>C126+C116</f>
        <v>131</v>
      </c>
      <c r="D142" s="224"/>
    </row>
    <row r="143" spans="2:4" ht="14.25" customHeight="1">
      <c r="B143" s="18"/>
      <c r="C143" s="72">
        <f>+C142</f>
        <v>131</v>
      </c>
      <c r="D143" s="224"/>
    </row>
    <row r="144" spans="2:4" ht="14.25" customHeight="1">
      <c r="B144" s="54"/>
      <c r="C144" s="171"/>
      <c r="D144" s="224"/>
    </row>
    <row r="145" spans="2:4">
      <c r="B145" s="354" t="s">
        <v>94</v>
      </c>
      <c r="C145" s="354"/>
    </row>
    <row r="146" spans="2:4">
      <c r="B146" s="319" t="s">
        <v>0</v>
      </c>
      <c r="C146" s="320" t="s">
        <v>33</v>
      </c>
    </row>
    <row r="147" spans="2:4">
      <c r="B147" s="18" t="s">
        <v>4</v>
      </c>
      <c r="C147" s="87">
        <f>+C133</f>
        <v>995</v>
      </c>
      <c r="D147" s="224"/>
    </row>
    <row r="148" spans="2:4">
      <c r="B148" s="18" t="s">
        <v>3</v>
      </c>
      <c r="C148" s="87">
        <f>+C132</f>
        <v>354</v>
      </c>
      <c r="D148" s="224"/>
    </row>
    <row r="149" spans="2:4">
      <c r="B149" s="18" t="s">
        <v>97</v>
      </c>
      <c r="C149" s="87">
        <f>+C134</f>
        <v>263</v>
      </c>
      <c r="D149" s="224"/>
    </row>
    <row r="150" spans="2:4">
      <c r="B150" s="18" t="s">
        <v>101</v>
      </c>
      <c r="C150" s="87">
        <f>+C135</f>
        <v>208</v>
      </c>
      <c r="D150" s="224"/>
    </row>
    <row r="151" spans="2:4">
      <c r="B151" s="18" t="s">
        <v>5</v>
      </c>
      <c r="C151" s="87">
        <f>+C142</f>
        <v>131</v>
      </c>
      <c r="D151" s="224"/>
    </row>
    <row r="152" spans="2:4">
      <c r="B152" s="18" t="s">
        <v>119</v>
      </c>
      <c r="C152" s="87">
        <f>+C136</f>
        <v>297</v>
      </c>
      <c r="D152" s="224"/>
    </row>
    <row r="153" spans="2:4">
      <c r="B153" s="18" t="s">
        <v>120</v>
      </c>
      <c r="C153" s="87">
        <f>+C137</f>
        <v>36</v>
      </c>
      <c r="D153" s="224"/>
    </row>
    <row r="154" spans="2:4" ht="14.25" customHeight="1">
      <c r="C154" s="339">
        <f>C147+C148+C149+C151+C150+C152+C153</f>
        <v>2284</v>
      </c>
    </row>
    <row r="164" spans="2:2">
      <c r="B164" s="171"/>
    </row>
    <row r="165" spans="2:2">
      <c r="B165" s="171"/>
    </row>
    <row r="166" spans="2:2">
      <c r="B166" s="171"/>
    </row>
    <row r="167" spans="2:2">
      <c r="B167" s="171"/>
    </row>
    <row r="168" spans="2:2">
      <c r="B168" s="171"/>
    </row>
    <row r="169" spans="2:2">
      <c r="B169" s="171"/>
    </row>
  </sheetData>
  <mergeCells count="20">
    <mergeCell ref="B52:F52"/>
    <mergeCell ref="B74:C75"/>
    <mergeCell ref="B2:F2"/>
    <mergeCell ref="B3:C3"/>
    <mergeCell ref="B30:C31"/>
    <mergeCell ref="D30:D31"/>
    <mergeCell ref="E31:F31"/>
    <mergeCell ref="B130:C130"/>
    <mergeCell ref="B140:C140"/>
    <mergeCell ref="B145:C145"/>
    <mergeCell ref="B53:C53"/>
    <mergeCell ref="D74:D75"/>
    <mergeCell ref="B106:C107"/>
    <mergeCell ref="D107:E107"/>
    <mergeCell ref="B108:C108"/>
    <mergeCell ref="D108:E108"/>
    <mergeCell ref="E75:F75"/>
    <mergeCell ref="B95:E95"/>
    <mergeCell ref="B102:C103"/>
    <mergeCell ref="D103:E10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71"/>
  <sheetViews>
    <sheetView view="pageBreakPreview" topLeftCell="A141" zoomScaleNormal="100" zoomScaleSheetLayoutView="100" workbookViewId="0">
      <selection activeCell="A77" sqref="A77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5" customWidth="1"/>
    <col min="13" max="13" width="13.42578125" customWidth="1"/>
    <col min="15" max="15" width="33.4257812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2" spans="2:13" ht="24" customHeight="1" thickBot="1">
      <c r="B2" s="401" t="s">
        <v>186</v>
      </c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</row>
    <row r="3" spans="2:13" ht="16.5" thickBot="1">
      <c r="B3" s="201" t="s">
        <v>35</v>
      </c>
      <c r="C3" s="202">
        <v>2016</v>
      </c>
      <c r="D3" s="202">
        <v>2017</v>
      </c>
      <c r="E3" s="202">
        <v>2018</v>
      </c>
      <c r="F3" s="202">
        <v>2019</v>
      </c>
      <c r="G3" s="202">
        <v>2020</v>
      </c>
      <c r="H3" s="202">
        <v>2021</v>
      </c>
      <c r="I3" s="202">
        <v>2022</v>
      </c>
      <c r="J3" s="202">
        <v>2023</v>
      </c>
      <c r="K3" s="202">
        <v>2024</v>
      </c>
      <c r="L3" s="203">
        <v>2025</v>
      </c>
      <c r="M3" s="203">
        <v>2026</v>
      </c>
    </row>
    <row r="4" spans="2:13" ht="15.75">
      <c r="B4" s="206" t="s">
        <v>36</v>
      </c>
      <c r="C4" s="204">
        <v>1727</v>
      </c>
      <c r="D4" s="200">
        <v>1818</v>
      </c>
      <c r="E4" s="200">
        <v>2399</v>
      </c>
      <c r="F4" s="200">
        <v>2241</v>
      </c>
      <c r="G4" s="200">
        <v>2333</v>
      </c>
      <c r="H4" s="200">
        <v>1418</v>
      </c>
      <c r="I4" s="200">
        <v>2314</v>
      </c>
      <c r="J4" s="200">
        <v>2050</v>
      </c>
      <c r="K4" s="200">
        <v>2090</v>
      </c>
      <c r="L4" s="236">
        <v>2146</v>
      </c>
      <c r="M4" s="236"/>
    </row>
    <row r="5" spans="2:13" ht="15.75">
      <c r="B5" s="207" t="s">
        <v>37</v>
      </c>
      <c r="C5" s="205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236">
        <v>1926</v>
      </c>
      <c r="M5" s="236"/>
    </row>
    <row r="6" spans="2:13" ht="15.75">
      <c r="B6" s="207" t="s">
        <v>38</v>
      </c>
      <c r="C6" s="205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236">
        <v>2148</v>
      </c>
      <c r="M6" s="236"/>
    </row>
    <row r="7" spans="2:13" ht="15.75">
      <c r="B7" s="207" t="s">
        <v>39</v>
      </c>
      <c r="C7" s="205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236">
        <v>1821</v>
      </c>
      <c r="M7" s="236"/>
    </row>
    <row r="8" spans="2:13" ht="15.75">
      <c r="B8" s="207" t="s">
        <v>40</v>
      </c>
      <c r="C8" s="205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236">
        <v>1765</v>
      </c>
      <c r="M8" s="236"/>
    </row>
    <row r="9" spans="2:13" ht="15.75">
      <c r="B9" s="207" t="s">
        <v>41</v>
      </c>
      <c r="C9" s="205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236">
        <v>1874</v>
      </c>
      <c r="M9" s="236"/>
    </row>
    <row r="10" spans="2:13" ht="15.75">
      <c r="B10" s="207" t="s">
        <v>42</v>
      </c>
      <c r="C10" s="205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236">
        <v>2010</v>
      </c>
      <c r="M10" s="236"/>
    </row>
    <row r="11" spans="2:13" ht="15.75">
      <c r="B11" s="207" t="s">
        <v>43</v>
      </c>
      <c r="C11" s="205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323">
        <v>2115</v>
      </c>
      <c r="M11" s="323"/>
    </row>
    <row r="12" spans="2:13" ht="15.75">
      <c r="B12" s="207" t="s">
        <v>44</v>
      </c>
      <c r="C12" s="205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323">
        <v>2012</v>
      </c>
      <c r="M12" s="323"/>
    </row>
    <row r="13" spans="2:13" ht="15.75">
      <c r="B13" s="207" t="s">
        <v>45</v>
      </c>
      <c r="C13" s="205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323">
        <v>2162</v>
      </c>
      <c r="M13" s="323"/>
    </row>
    <row r="14" spans="2:13" ht="15.75">
      <c r="B14" s="207" t="s">
        <v>46</v>
      </c>
      <c r="C14" s="205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323">
        <v>2222</v>
      </c>
      <c r="M14" s="323"/>
    </row>
    <row r="15" spans="2:13" ht="16.5" thickBot="1">
      <c r="B15" s="208" t="s">
        <v>47</v>
      </c>
      <c r="C15" s="209">
        <v>1873</v>
      </c>
      <c r="D15" s="210">
        <v>2431</v>
      </c>
      <c r="E15" s="210">
        <v>2450</v>
      </c>
      <c r="F15" s="210">
        <v>2342</v>
      </c>
      <c r="G15" s="210">
        <v>1308</v>
      </c>
      <c r="H15" s="210">
        <v>2284</v>
      </c>
      <c r="I15" s="210">
        <v>2074</v>
      </c>
      <c r="J15" s="210">
        <v>2413</v>
      </c>
      <c r="K15" s="210">
        <v>2153</v>
      </c>
      <c r="L15" s="324">
        <v>2284</v>
      </c>
      <c r="M15" s="324"/>
    </row>
    <row r="16" spans="2:13" ht="16.5" thickBot="1">
      <c r="B16" s="211" t="s">
        <v>6</v>
      </c>
      <c r="C16" s="212">
        <f>SUM(C4:C15)</f>
        <v>21312</v>
      </c>
      <c r="D16" s="213">
        <f t="shared" ref="D16:K16" si="0">SUM(D4:D15)</f>
        <v>21900</v>
      </c>
      <c r="E16" s="213">
        <f t="shared" si="0"/>
        <v>27693</v>
      </c>
      <c r="F16" s="213">
        <f t="shared" si="0"/>
        <v>26129</v>
      </c>
      <c r="G16" s="213">
        <f t="shared" si="0"/>
        <v>10940</v>
      </c>
      <c r="H16" s="213">
        <f t="shared" si="0"/>
        <v>21460</v>
      </c>
      <c r="I16" s="213">
        <f t="shared" si="0"/>
        <v>27182</v>
      </c>
      <c r="J16" s="213">
        <f t="shared" si="0"/>
        <v>23855</v>
      </c>
      <c r="K16" s="213">
        <f t="shared" si="0"/>
        <v>25790</v>
      </c>
      <c r="L16" s="237">
        <f>SUM(L4:L15)</f>
        <v>24485</v>
      </c>
      <c r="M16" s="237">
        <f>SUM(M4:M15)</f>
        <v>0</v>
      </c>
    </row>
    <row r="19" spans="2:11" ht="15.75">
      <c r="J19" s="186"/>
      <c r="K19" s="186"/>
    </row>
    <row r="20" spans="2:11" ht="15.75">
      <c r="J20" s="186"/>
      <c r="K20" s="186"/>
    </row>
    <row r="21" spans="2:11" ht="15.75">
      <c r="J21" s="186"/>
      <c r="K21" s="186"/>
    </row>
    <row r="22" spans="2:11" ht="15.75">
      <c r="J22" s="186"/>
      <c r="K22" s="186"/>
    </row>
    <row r="23" spans="2:11" ht="15.75">
      <c r="J23" s="186"/>
      <c r="K23" s="186"/>
    </row>
    <row r="24" spans="2:11" ht="15.75">
      <c r="J24" s="186"/>
      <c r="K24" s="186"/>
    </row>
    <row r="25" spans="2:11" ht="15.75">
      <c r="J25" s="186"/>
      <c r="K25" s="186"/>
    </row>
    <row r="26" spans="2:11" ht="15.75">
      <c r="J26" s="186"/>
      <c r="K26" s="186"/>
    </row>
    <row r="27" spans="2:11" ht="15.75">
      <c r="J27" s="186"/>
      <c r="K27" s="186"/>
    </row>
    <row r="28" spans="2:11" ht="15.75">
      <c r="J28" s="186"/>
    </row>
    <row r="29" spans="2:11" ht="15.75">
      <c r="J29" s="186"/>
    </row>
    <row r="30" spans="2:11" ht="15.75">
      <c r="J30" s="186"/>
    </row>
    <row r="31" spans="2:11" ht="15.75" thickBot="1"/>
    <row r="32" spans="2:11" ht="26.25" customHeight="1" thickBot="1">
      <c r="B32" s="414" t="s">
        <v>187</v>
      </c>
      <c r="C32" s="415"/>
      <c r="D32" s="415"/>
      <c r="E32" s="415"/>
      <c r="F32" s="415"/>
      <c r="G32" s="415"/>
      <c r="H32" s="415"/>
      <c r="I32" s="415"/>
      <c r="J32" s="415"/>
      <c r="K32" s="416"/>
    </row>
    <row r="33" spans="2:16" ht="18" customHeight="1">
      <c r="B33" s="417" t="s">
        <v>48</v>
      </c>
      <c r="C33" s="419">
        <v>2024</v>
      </c>
      <c r="D33" s="420"/>
      <c r="E33" s="420"/>
      <c r="F33" s="390" t="s">
        <v>6</v>
      </c>
      <c r="G33" s="419">
        <v>2025</v>
      </c>
      <c r="H33" s="420"/>
      <c r="I33" s="420"/>
      <c r="J33" s="390" t="s">
        <v>6</v>
      </c>
      <c r="K33" s="403" t="s">
        <v>107</v>
      </c>
    </row>
    <row r="34" spans="2:16" ht="24.75" thickBot="1">
      <c r="B34" s="418"/>
      <c r="C34" s="24" t="s">
        <v>49</v>
      </c>
      <c r="D34" s="25" t="s">
        <v>50</v>
      </c>
      <c r="E34" s="25" t="s">
        <v>51</v>
      </c>
      <c r="F34" s="391"/>
      <c r="G34" s="24" t="s">
        <v>49</v>
      </c>
      <c r="H34" s="25" t="s">
        <v>50</v>
      </c>
      <c r="I34" s="25" t="s">
        <v>51</v>
      </c>
      <c r="J34" s="391"/>
      <c r="K34" s="404"/>
    </row>
    <row r="35" spans="2:16">
      <c r="B35" s="133" t="s">
        <v>36</v>
      </c>
      <c r="C35" s="134">
        <v>34</v>
      </c>
      <c r="D35" s="135">
        <v>1792</v>
      </c>
      <c r="E35" s="135">
        <v>264</v>
      </c>
      <c r="F35" s="136">
        <f>SUM(C35:E35)</f>
        <v>2090</v>
      </c>
      <c r="G35" s="134">
        <v>30</v>
      </c>
      <c r="H35" s="135">
        <v>1814</v>
      </c>
      <c r="I35" s="135">
        <v>302</v>
      </c>
      <c r="J35" s="136">
        <f>SUM(G35:I35)</f>
        <v>2146</v>
      </c>
      <c r="K35" s="137">
        <f t="shared" ref="K35:K43" si="1">(J35/F35)-1</f>
        <v>2.6794258373205704E-2</v>
      </c>
    </row>
    <row r="36" spans="2:16">
      <c r="B36" s="133" t="s">
        <v>37</v>
      </c>
      <c r="C36" s="134">
        <v>42</v>
      </c>
      <c r="D36" s="135">
        <v>1669</v>
      </c>
      <c r="E36" s="135">
        <v>352</v>
      </c>
      <c r="F36" s="136">
        <v>2063</v>
      </c>
      <c r="G36" s="134">
        <v>24</v>
      </c>
      <c r="H36" s="135">
        <v>1549</v>
      </c>
      <c r="I36" s="135">
        <v>353</v>
      </c>
      <c r="J36" s="136">
        <f>SUM(G36:I36)</f>
        <v>1926</v>
      </c>
      <c r="K36" s="243">
        <f t="shared" si="1"/>
        <v>-6.6408143480368387E-2</v>
      </c>
    </row>
    <row r="37" spans="2:16">
      <c r="B37" s="133" t="s">
        <v>38</v>
      </c>
      <c r="C37" s="134">
        <v>26</v>
      </c>
      <c r="D37" s="135">
        <v>1757</v>
      </c>
      <c r="E37" s="135">
        <v>323</v>
      </c>
      <c r="F37" s="136">
        <v>2106</v>
      </c>
      <c r="G37" s="134">
        <v>34</v>
      </c>
      <c r="H37" s="135">
        <v>1727</v>
      </c>
      <c r="I37" s="135">
        <v>387</v>
      </c>
      <c r="J37" s="136">
        <f>SUM(G37:I37)</f>
        <v>2148</v>
      </c>
      <c r="K37" s="137">
        <f t="shared" si="1"/>
        <v>1.9943019943019946E-2</v>
      </c>
    </row>
    <row r="38" spans="2:16" ht="15" customHeight="1">
      <c r="B38" s="56" t="s">
        <v>39</v>
      </c>
      <c r="C38" s="135">
        <v>28</v>
      </c>
      <c r="D38" s="135">
        <v>1830</v>
      </c>
      <c r="E38" s="135">
        <v>282</v>
      </c>
      <c r="F38" s="136">
        <v>2140</v>
      </c>
      <c r="G38" s="135">
        <v>38</v>
      </c>
      <c r="H38" s="135">
        <v>1484</v>
      </c>
      <c r="I38" s="135">
        <v>299</v>
      </c>
      <c r="J38" s="136">
        <v>1821</v>
      </c>
      <c r="K38" s="243">
        <f t="shared" si="1"/>
        <v>-0.14906542056074767</v>
      </c>
    </row>
    <row r="39" spans="2:16">
      <c r="B39" s="60" t="s">
        <v>40</v>
      </c>
      <c r="C39" s="135">
        <v>54</v>
      </c>
      <c r="D39" s="135">
        <v>1941</v>
      </c>
      <c r="E39" s="135">
        <v>232</v>
      </c>
      <c r="F39" s="136">
        <v>2227</v>
      </c>
      <c r="G39" s="135">
        <v>20</v>
      </c>
      <c r="H39" s="135">
        <v>1410</v>
      </c>
      <c r="I39" s="135">
        <v>335</v>
      </c>
      <c r="J39" s="136">
        <v>1765</v>
      </c>
      <c r="K39" s="243">
        <f t="shared" si="1"/>
        <v>-0.20745397395599463</v>
      </c>
    </row>
    <row r="40" spans="2:16">
      <c r="B40" s="60" t="s">
        <v>41</v>
      </c>
      <c r="C40" s="135">
        <v>28</v>
      </c>
      <c r="D40" s="135">
        <v>1828</v>
      </c>
      <c r="E40" s="135">
        <v>215</v>
      </c>
      <c r="F40" s="136">
        <v>2071</v>
      </c>
      <c r="G40" s="135">
        <v>28</v>
      </c>
      <c r="H40" s="135">
        <v>1542</v>
      </c>
      <c r="I40" s="135">
        <v>304</v>
      </c>
      <c r="J40" s="136">
        <v>1874</v>
      </c>
      <c r="K40" s="243">
        <f t="shared" si="1"/>
        <v>-9.5123128923225497E-2</v>
      </c>
    </row>
    <row r="41" spans="2:16">
      <c r="B41" s="60" t="s">
        <v>42</v>
      </c>
      <c r="C41" s="325">
        <v>14</v>
      </c>
      <c r="D41" s="325">
        <v>1955</v>
      </c>
      <c r="E41" s="325">
        <v>327</v>
      </c>
      <c r="F41" s="326">
        <v>2278</v>
      </c>
      <c r="G41" s="325">
        <v>42</v>
      </c>
      <c r="H41" s="325">
        <v>1595</v>
      </c>
      <c r="I41" s="325">
        <v>367</v>
      </c>
      <c r="J41" s="326">
        <v>2004</v>
      </c>
      <c r="K41" s="327">
        <f t="shared" si="1"/>
        <v>-0.12028094820017554</v>
      </c>
    </row>
    <row r="42" spans="2:16">
      <c r="B42" s="60" t="s">
        <v>43</v>
      </c>
      <c r="C42" s="135">
        <v>78</v>
      </c>
      <c r="D42" s="135">
        <v>1991</v>
      </c>
      <c r="E42" s="135">
        <v>300</v>
      </c>
      <c r="F42" s="136">
        <v>2364</v>
      </c>
      <c r="G42" s="135">
        <v>84</v>
      </c>
      <c r="H42" s="135">
        <v>1612</v>
      </c>
      <c r="I42" s="135">
        <v>419</v>
      </c>
      <c r="J42" s="136">
        <f>G42+H42+I42</f>
        <v>2115</v>
      </c>
      <c r="K42" s="327">
        <f t="shared" si="1"/>
        <v>-0.10532994923857864</v>
      </c>
    </row>
    <row r="43" spans="2:16">
      <c r="B43" s="60" t="s">
        <v>44</v>
      </c>
      <c r="C43" s="135">
        <v>62</v>
      </c>
      <c r="D43" s="135">
        <v>1789</v>
      </c>
      <c r="E43" s="135">
        <v>227</v>
      </c>
      <c r="F43" s="136">
        <v>2078</v>
      </c>
      <c r="G43" s="135">
        <v>46</v>
      </c>
      <c r="H43" s="135">
        <v>1579</v>
      </c>
      <c r="I43" s="135">
        <v>387</v>
      </c>
      <c r="J43" s="136">
        <f>G43+H43+I43</f>
        <v>2012</v>
      </c>
      <c r="K43" s="327">
        <f t="shared" si="1"/>
        <v>-3.1761308950914335E-2</v>
      </c>
    </row>
    <row r="44" spans="2:16">
      <c r="B44" s="60" t="s">
        <v>45</v>
      </c>
      <c r="C44" s="135">
        <v>48</v>
      </c>
      <c r="D44" s="135">
        <v>1740</v>
      </c>
      <c r="E44" s="135">
        <v>360</v>
      </c>
      <c r="F44" s="136">
        <v>2148</v>
      </c>
      <c r="G44" s="135">
        <v>36</v>
      </c>
      <c r="H44" s="135">
        <v>1709</v>
      </c>
      <c r="I44" s="135">
        <v>417</v>
      </c>
      <c r="J44" s="136">
        <f>G44+H44+I44</f>
        <v>2162</v>
      </c>
      <c r="K44" s="327">
        <f>(J44/F44)-1</f>
        <v>6.5176908752326845E-3</v>
      </c>
    </row>
    <row r="45" spans="2:16">
      <c r="B45" s="60" t="s">
        <v>46</v>
      </c>
      <c r="C45" s="135">
        <v>24</v>
      </c>
      <c r="D45" s="135">
        <v>1714</v>
      </c>
      <c r="E45" s="135">
        <v>334</v>
      </c>
      <c r="F45" s="136">
        <v>2072</v>
      </c>
      <c r="G45" s="135">
        <v>30</v>
      </c>
      <c r="H45" s="135">
        <v>1813</v>
      </c>
      <c r="I45" s="135">
        <v>379</v>
      </c>
      <c r="J45" s="136">
        <f>G45+H45+I45</f>
        <v>2222</v>
      </c>
      <c r="K45" s="327">
        <f>(J45/F45)-1</f>
        <v>7.2393822393822305E-2</v>
      </c>
    </row>
    <row r="46" spans="2:16" ht="15.75" thickBot="1">
      <c r="B46" s="60" t="s">
        <v>47</v>
      </c>
      <c r="C46" s="135">
        <v>76</v>
      </c>
      <c r="D46" s="135">
        <v>1823</v>
      </c>
      <c r="E46" s="135">
        <v>254</v>
      </c>
      <c r="F46" s="136">
        <v>2153</v>
      </c>
      <c r="G46" s="135">
        <v>36</v>
      </c>
      <c r="H46" s="135">
        <v>1951</v>
      </c>
      <c r="I46" s="135">
        <v>297</v>
      </c>
      <c r="J46" s="136">
        <f>G46+H46+I46</f>
        <v>2284</v>
      </c>
      <c r="K46" s="327">
        <f>(J46/F46)-1</f>
        <v>6.0845332094751514E-2</v>
      </c>
    </row>
    <row r="47" spans="2:16" ht="21" thickBot="1">
      <c r="B47" s="139" t="s">
        <v>6</v>
      </c>
      <c r="C47" s="140">
        <f t="shared" ref="C47:J47" si="2">SUM(C35:C46)</f>
        <v>514</v>
      </c>
      <c r="D47" s="141">
        <f t="shared" si="2"/>
        <v>21829</v>
      </c>
      <c r="E47" s="141">
        <f t="shared" si="2"/>
        <v>3470</v>
      </c>
      <c r="F47" s="142">
        <f t="shared" si="2"/>
        <v>25790</v>
      </c>
      <c r="G47" s="140">
        <f t="shared" si="2"/>
        <v>448</v>
      </c>
      <c r="H47" s="140">
        <f t="shared" si="2"/>
        <v>19785</v>
      </c>
      <c r="I47" s="140">
        <f t="shared" si="2"/>
        <v>4246</v>
      </c>
      <c r="J47" s="140">
        <f t="shared" si="2"/>
        <v>24479</v>
      </c>
      <c r="K47" s="265">
        <f>(J47/(F35+F36+F37+F38+F39+F40+F41))-1</f>
        <v>0.6346577629382304</v>
      </c>
      <c r="M47" s="62"/>
      <c r="N47" s="91"/>
      <c r="O47" s="62"/>
      <c r="P47" s="91"/>
    </row>
    <row r="48" spans="2:16" ht="15.75" thickBot="1"/>
    <row r="49" spans="2:12">
      <c r="B49" s="78"/>
      <c r="C49" s="397">
        <v>2024</v>
      </c>
      <c r="D49" s="398"/>
      <c r="E49" s="398"/>
      <c r="F49" s="400"/>
      <c r="G49" s="397">
        <v>2025</v>
      </c>
      <c r="H49" s="398"/>
      <c r="I49" s="398"/>
      <c r="J49" s="398"/>
      <c r="K49" s="399"/>
    </row>
    <row r="50" spans="2:12" ht="52.5" customHeight="1">
      <c r="B50" s="79"/>
      <c r="C50" s="51" t="s">
        <v>49</v>
      </c>
      <c r="D50" s="51" t="s">
        <v>50</v>
      </c>
      <c r="E50" s="51" t="s">
        <v>51</v>
      </c>
      <c r="F50" s="52" t="s">
        <v>6</v>
      </c>
      <c r="G50" s="51" t="s">
        <v>49</v>
      </c>
      <c r="H50" s="51" t="s">
        <v>50</v>
      </c>
      <c r="I50" s="51" t="s">
        <v>51</v>
      </c>
      <c r="J50" s="53" t="s">
        <v>6</v>
      </c>
      <c r="K50" s="143" t="s">
        <v>107</v>
      </c>
    </row>
    <row r="51" spans="2:12" ht="27.75" customHeight="1">
      <c r="B51" s="225" t="s">
        <v>47</v>
      </c>
      <c r="C51" s="138">
        <v>76</v>
      </c>
      <c r="D51" s="138">
        <v>1823</v>
      </c>
      <c r="E51" s="138">
        <v>254</v>
      </c>
      <c r="F51" s="226">
        <f>C51+D51+E51</f>
        <v>2153</v>
      </c>
      <c r="G51" s="138">
        <v>36</v>
      </c>
      <c r="H51" s="138">
        <v>1951</v>
      </c>
      <c r="I51" s="138">
        <v>297</v>
      </c>
      <c r="J51" s="226">
        <f>G51+H51+I51</f>
        <v>2284</v>
      </c>
      <c r="K51" s="266">
        <f>+K46</f>
        <v>6.0845332094751514E-2</v>
      </c>
    </row>
    <row r="52" spans="2:12" ht="18">
      <c r="B52" s="57"/>
      <c r="C52" s="58"/>
      <c r="D52" s="58"/>
      <c r="E52" s="58"/>
      <c r="F52" s="58"/>
      <c r="G52" s="58"/>
      <c r="H52" s="58"/>
      <c r="I52" s="58"/>
      <c r="J52" s="58"/>
      <c r="K52" s="59"/>
    </row>
    <row r="53" spans="2:12" ht="18">
      <c r="B53" s="57"/>
      <c r="C53" s="58"/>
      <c r="D53" s="58"/>
      <c r="E53" s="58"/>
      <c r="F53" s="58"/>
      <c r="G53" s="58"/>
      <c r="H53" s="58"/>
      <c r="I53" s="58"/>
      <c r="J53" s="58"/>
      <c r="K53" s="59"/>
    </row>
    <row r="54" spans="2:12" ht="18">
      <c r="B54" s="57"/>
      <c r="C54" s="58"/>
      <c r="D54" s="58"/>
      <c r="E54" s="58"/>
      <c r="F54" s="58"/>
      <c r="G54" s="58"/>
      <c r="H54" s="58"/>
      <c r="I54" s="58"/>
      <c r="J54" s="58"/>
      <c r="K54" s="59"/>
    </row>
    <row r="55" spans="2:12" ht="18">
      <c r="B55" s="57"/>
      <c r="C55" s="58"/>
      <c r="D55" s="58"/>
      <c r="E55" s="58"/>
      <c r="F55" s="58"/>
      <c r="G55" s="58"/>
      <c r="H55" s="58"/>
      <c r="I55" s="58"/>
      <c r="J55" s="58"/>
      <c r="K55" s="59"/>
    </row>
    <row r="56" spans="2:12" ht="18">
      <c r="B56" s="57"/>
      <c r="C56" s="58"/>
      <c r="D56" s="58"/>
      <c r="E56" s="58"/>
      <c r="F56" s="58"/>
      <c r="G56" s="58"/>
      <c r="H56" s="58"/>
      <c r="I56" s="58"/>
      <c r="J56" s="58"/>
      <c r="K56" s="59"/>
    </row>
    <row r="57" spans="2:12">
      <c r="K57" s="264"/>
    </row>
    <row r="60" spans="2:12" ht="30.75" customHeight="1" thickBot="1">
      <c r="B60" s="395" t="s">
        <v>178</v>
      </c>
      <c r="C60" s="396"/>
      <c r="D60" s="396"/>
      <c r="E60" s="396"/>
      <c r="F60" s="396"/>
      <c r="G60" s="396"/>
      <c r="H60" s="396"/>
      <c r="I60" s="396"/>
      <c r="J60" s="214"/>
      <c r="K60" s="214"/>
    </row>
    <row r="61" spans="2:12" ht="33.75" customHeight="1" thickBot="1">
      <c r="B61" s="174" t="s">
        <v>52</v>
      </c>
      <c r="C61" s="175" t="s">
        <v>4</v>
      </c>
      <c r="D61" s="175" t="s">
        <v>3</v>
      </c>
      <c r="E61" s="175" t="s">
        <v>101</v>
      </c>
      <c r="F61" s="175" t="s">
        <v>97</v>
      </c>
      <c r="G61" s="175" t="s">
        <v>5</v>
      </c>
      <c r="H61" s="175" t="s">
        <v>195</v>
      </c>
      <c r="I61" s="176" t="s">
        <v>6</v>
      </c>
      <c r="J61" s="177"/>
    </row>
    <row r="62" spans="2:12" ht="30.75" customHeight="1">
      <c r="B62" s="174" t="s">
        <v>54</v>
      </c>
      <c r="C62" s="81">
        <f>C63+C64+C65+C66</f>
        <v>485</v>
      </c>
      <c r="D62" s="81">
        <f>D63+D64+D65+D66</f>
        <v>177</v>
      </c>
      <c r="E62" s="81">
        <f t="shared" ref="E62" si="3">E63+E64+E65+E66</f>
        <v>105</v>
      </c>
      <c r="F62" s="81">
        <f>F63+F64+F65+F66</f>
        <v>120</v>
      </c>
      <c r="G62" s="81">
        <f>G63+G64+G65+G66</f>
        <v>64</v>
      </c>
      <c r="H62" s="81">
        <v>0</v>
      </c>
      <c r="I62" s="173">
        <f>SUM(C62:H62)</f>
        <v>951</v>
      </c>
      <c r="J62" s="215"/>
    </row>
    <row r="63" spans="2:12" ht="55.5" customHeight="1">
      <c r="B63" s="84" t="s">
        <v>55</v>
      </c>
      <c r="C63" s="83">
        <v>186</v>
      </c>
      <c r="D63" s="83">
        <v>22</v>
      </c>
      <c r="E63" s="83">
        <v>26</v>
      </c>
      <c r="F63" s="83">
        <v>39</v>
      </c>
      <c r="G63" s="83">
        <v>49</v>
      </c>
      <c r="H63" s="83">
        <v>0</v>
      </c>
      <c r="I63" s="173">
        <f>SUM(C63:H63)</f>
        <v>322</v>
      </c>
      <c r="J63" s="178"/>
      <c r="L63" s="170"/>
    </row>
    <row r="64" spans="2:12" ht="51.75" customHeight="1">
      <c r="B64" s="84" t="s">
        <v>56</v>
      </c>
      <c r="C64" s="83">
        <v>167</v>
      </c>
      <c r="D64" s="83">
        <v>71</v>
      </c>
      <c r="E64" s="83">
        <v>30</v>
      </c>
      <c r="F64" s="83">
        <v>50</v>
      </c>
      <c r="G64" s="83">
        <v>12</v>
      </c>
      <c r="H64" s="83">
        <v>0</v>
      </c>
      <c r="I64" s="173">
        <f>SUM(C64:H64)</f>
        <v>330</v>
      </c>
      <c r="J64" s="178"/>
      <c r="L64" s="170"/>
    </row>
    <row r="65" spans="2:12" ht="48.75" customHeight="1">
      <c r="B65" s="84" t="s">
        <v>57</v>
      </c>
      <c r="C65" s="83">
        <v>86</v>
      </c>
      <c r="D65" s="83">
        <v>46</v>
      </c>
      <c r="E65" s="83">
        <v>25</v>
      </c>
      <c r="F65" s="83">
        <v>14</v>
      </c>
      <c r="G65" s="83">
        <v>2</v>
      </c>
      <c r="H65" s="83">
        <v>0</v>
      </c>
      <c r="I65" s="173">
        <f>SUM(C65:H65)</f>
        <v>173</v>
      </c>
      <c r="J65" s="178"/>
      <c r="L65" s="170"/>
    </row>
    <row r="66" spans="2:12" ht="42.75" customHeight="1" thickBot="1">
      <c r="B66" s="230" t="s">
        <v>58</v>
      </c>
      <c r="C66" s="231">
        <v>46</v>
      </c>
      <c r="D66" s="231">
        <v>38</v>
      </c>
      <c r="E66" s="231">
        <v>24</v>
      </c>
      <c r="F66" s="231">
        <v>17</v>
      </c>
      <c r="G66" s="231">
        <v>1</v>
      </c>
      <c r="H66" s="231">
        <v>0</v>
      </c>
      <c r="I66" s="173">
        <f>SUM(C66:H66)</f>
        <v>126</v>
      </c>
      <c r="J66" s="178"/>
      <c r="L66" s="170"/>
    </row>
    <row r="67" spans="2:12" ht="45.75" customHeight="1" thickBot="1">
      <c r="B67" s="234" t="s">
        <v>59</v>
      </c>
      <c r="C67" s="232">
        <f>(C62/I62)</f>
        <v>0.50998948475289174</v>
      </c>
      <c r="D67" s="232">
        <f>(D62/I62)</f>
        <v>0.18611987381703471</v>
      </c>
      <c r="E67" s="232">
        <f>(E62/I62)</f>
        <v>0.11041009463722397</v>
      </c>
      <c r="F67" s="232">
        <f>(F62/I62)</f>
        <v>0.12618296529968454</v>
      </c>
      <c r="G67" s="232">
        <f>(G62/I62)</f>
        <v>6.7297581493165087E-2</v>
      </c>
      <c r="H67" s="232">
        <f>(H62/I62)</f>
        <v>0</v>
      </c>
      <c r="I67" s="233"/>
      <c r="J67" s="179"/>
      <c r="L67" s="170"/>
    </row>
    <row r="68" spans="2:12" ht="15.75" thickBot="1">
      <c r="C68" s="181"/>
      <c r="D68" s="182"/>
      <c r="E68" s="182"/>
      <c r="F68" s="182"/>
      <c r="G68" s="182"/>
      <c r="H68" s="183"/>
      <c r="I68" s="180"/>
      <c r="J68" s="180"/>
    </row>
    <row r="69" spans="2:12" ht="24" customHeight="1" thickBot="1">
      <c r="B69" s="411" t="s">
        <v>179</v>
      </c>
      <c r="C69" s="412"/>
      <c r="D69" s="412"/>
      <c r="E69" s="412"/>
      <c r="F69" s="412"/>
      <c r="G69" s="412"/>
      <c r="H69" s="413"/>
      <c r="I69" s="180"/>
      <c r="J69" s="180"/>
      <c r="K69" s="45"/>
    </row>
    <row r="70" spans="2:12" ht="30" customHeight="1" thickBot="1">
      <c r="B70" s="174" t="s">
        <v>52</v>
      </c>
      <c r="C70" s="175" t="s">
        <v>4</v>
      </c>
      <c r="D70" s="175" t="s">
        <v>3</v>
      </c>
      <c r="E70" s="175" t="s">
        <v>101</v>
      </c>
      <c r="F70" s="175" t="s">
        <v>97</v>
      </c>
      <c r="G70" s="175" t="s">
        <v>5</v>
      </c>
      <c r="H70" s="194" t="s">
        <v>6</v>
      </c>
      <c r="J70" s="177"/>
    </row>
    <row r="71" spans="2:12" ht="18.75" thickBot="1">
      <c r="B71" s="244" t="s">
        <v>54</v>
      </c>
      <c r="C71" s="81">
        <f>+C62</f>
        <v>485</v>
      </c>
      <c r="D71" s="81">
        <f>+D62</f>
        <v>177</v>
      </c>
      <c r="E71" s="81">
        <f>+E62</f>
        <v>105</v>
      </c>
      <c r="F71" s="81">
        <f>+F62</f>
        <v>120</v>
      </c>
      <c r="G71" s="81">
        <f>+G62</f>
        <v>64</v>
      </c>
      <c r="H71" s="185">
        <f>SUM(C71:G71)</f>
        <v>951</v>
      </c>
      <c r="J71" s="178"/>
    </row>
    <row r="73" spans="2:12" ht="15.75" thickBot="1"/>
    <row r="74" spans="2:12" ht="35.25" customHeight="1" thickBot="1">
      <c r="B74" s="408" t="s">
        <v>180</v>
      </c>
      <c r="C74" s="409"/>
      <c r="D74" s="409"/>
      <c r="E74" s="409"/>
      <c r="F74" s="409"/>
      <c r="G74" s="409"/>
      <c r="H74" s="409"/>
      <c r="I74" s="409"/>
      <c r="J74" s="410"/>
      <c r="K74" s="245"/>
    </row>
    <row r="75" spans="2:12" ht="35.25" customHeight="1">
      <c r="B75" s="227" t="s">
        <v>52</v>
      </c>
      <c r="C75" s="26" t="s">
        <v>4</v>
      </c>
      <c r="D75" s="26" t="s">
        <v>136</v>
      </c>
      <c r="E75" s="26" t="s">
        <v>101</v>
      </c>
      <c r="F75" s="26" t="s">
        <v>97</v>
      </c>
      <c r="G75" s="26" t="s">
        <v>5</v>
      </c>
      <c r="H75" s="26" t="s">
        <v>53</v>
      </c>
      <c r="I75" s="26" t="s">
        <v>98</v>
      </c>
      <c r="J75" s="228" t="s">
        <v>6</v>
      </c>
    </row>
    <row r="76" spans="2:12" ht="33" customHeight="1">
      <c r="B76" s="229" t="s">
        <v>54</v>
      </c>
      <c r="C76" s="81">
        <v>374</v>
      </c>
      <c r="D76" s="81">
        <v>141</v>
      </c>
      <c r="E76" s="81">
        <v>73</v>
      </c>
      <c r="F76" s="81">
        <v>79</v>
      </c>
      <c r="G76" s="81">
        <v>29</v>
      </c>
      <c r="H76" s="81">
        <v>0</v>
      </c>
      <c r="I76" s="81">
        <v>0</v>
      </c>
      <c r="J76" s="226">
        <f>SUM(C76:I76)</f>
        <v>696</v>
      </c>
    </row>
    <row r="77" spans="2:12" ht="65.25" customHeight="1">
      <c r="B77" s="84" t="s">
        <v>55</v>
      </c>
      <c r="C77" s="83">
        <v>61</v>
      </c>
      <c r="D77" s="83">
        <v>20</v>
      </c>
      <c r="E77" s="83">
        <v>10</v>
      </c>
      <c r="F77" s="83">
        <v>18</v>
      </c>
      <c r="G77" s="83">
        <v>21</v>
      </c>
      <c r="H77" s="83">
        <v>0</v>
      </c>
      <c r="I77" s="83">
        <v>0</v>
      </c>
      <c r="J77" s="226">
        <f>SUM(C77:I77)</f>
        <v>130</v>
      </c>
      <c r="K77" s="48"/>
    </row>
    <row r="78" spans="2:12" ht="63.75" customHeight="1">
      <c r="B78" s="84" t="s">
        <v>56</v>
      </c>
      <c r="C78" s="83">
        <v>167</v>
      </c>
      <c r="D78" s="83">
        <v>62</v>
      </c>
      <c r="E78" s="83">
        <v>35</v>
      </c>
      <c r="F78" s="83">
        <v>24</v>
      </c>
      <c r="G78" s="83">
        <v>6</v>
      </c>
      <c r="H78" s="83">
        <v>0</v>
      </c>
      <c r="I78" s="83">
        <v>0</v>
      </c>
      <c r="J78" s="226">
        <f>SUM(C78:I78)</f>
        <v>294</v>
      </c>
    </row>
    <row r="79" spans="2:12" ht="72.75" customHeight="1">
      <c r="B79" s="84" t="s">
        <v>57</v>
      </c>
      <c r="C79" s="83">
        <v>90</v>
      </c>
      <c r="D79" s="83">
        <v>44</v>
      </c>
      <c r="E79" s="83">
        <v>16</v>
      </c>
      <c r="F79" s="83">
        <v>18</v>
      </c>
      <c r="G79" s="83">
        <v>2</v>
      </c>
      <c r="H79" s="83">
        <v>0</v>
      </c>
      <c r="I79" s="83">
        <v>0</v>
      </c>
      <c r="J79" s="82">
        <f>SUM(C79:I79)</f>
        <v>170</v>
      </c>
    </row>
    <row r="80" spans="2:12" ht="55.5" customHeight="1" thickBot="1">
      <c r="B80" s="230" t="s">
        <v>58</v>
      </c>
      <c r="C80" s="83">
        <v>56</v>
      </c>
      <c r="D80" s="83">
        <v>15</v>
      </c>
      <c r="E80" s="83">
        <v>12</v>
      </c>
      <c r="F80" s="83">
        <v>19</v>
      </c>
      <c r="G80" s="83">
        <v>0</v>
      </c>
      <c r="H80" s="83">
        <v>0</v>
      </c>
      <c r="I80" s="83">
        <v>0</v>
      </c>
      <c r="J80" s="82">
        <f>SUM(C80:I80)</f>
        <v>102</v>
      </c>
    </row>
    <row r="81" spans="2:10" ht="33.75" thickBot="1">
      <c r="B81" s="234" t="s">
        <v>59</v>
      </c>
      <c r="C81" s="232">
        <f>C76/J76</f>
        <v>0.53735632183908044</v>
      </c>
      <c r="D81" s="232">
        <f>D76/J76</f>
        <v>0.20258620689655171</v>
      </c>
      <c r="E81" s="232">
        <f>E76/J76</f>
        <v>0.10488505747126436</v>
      </c>
      <c r="F81" s="232">
        <f>F76/J76</f>
        <v>0.11350574712643678</v>
      </c>
      <c r="G81" s="232">
        <f>G76/J76</f>
        <v>4.1666666666666664E-2</v>
      </c>
      <c r="H81" s="232">
        <f>H76/J76</f>
        <v>0</v>
      </c>
      <c r="I81" s="232">
        <f>I76/J76</f>
        <v>0</v>
      </c>
      <c r="J81" s="233"/>
    </row>
    <row r="83" spans="2:10" ht="15.75" thickBot="1"/>
    <row r="84" spans="2:10" ht="15.75" thickBot="1">
      <c r="B84" s="405" t="s">
        <v>180</v>
      </c>
      <c r="C84" s="406"/>
      <c r="D84" s="406"/>
      <c r="E84" s="406"/>
      <c r="F84" s="406"/>
      <c r="G84" s="406"/>
      <c r="H84" s="406"/>
      <c r="I84" s="406"/>
      <c r="J84" s="407"/>
    </row>
    <row r="85" spans="2:10" ht="15.75" thickBot="1">
      <c r="B85" s="174" t="s">
        <v>52</v>
      </c>
      <c r="C85" s="26" t="s">
        <v>4</v>
      </c>
      <c r="D85" s="26" t="s">
        <v>136</v>
      </c>
      <c r="E85" s="26" t="s">
        <v>101</v>
      </c>
      <c r="F85" s="26" t="s">
        <v>97</v>
      </c>
      <c r="G85" s="26" t="s">
        <v>5</v>
      </c>
      <c r="H85" s="26" t="s">
        <v>53</v>
      </c>
      <c r="I85" s="26" t="s">
        <v>98</v>
      </c>
      <c r="J85" s="194" t="s">
        <v>6</v>
      </c>
    </row>
    <row r="86" spans="2:10" ht="18.75" thickBot="1">
      <c r="B86" s="244" t="s">
        <v>54</v>
      </c>
      <c r="C86" s="184">
        <f t="shared" ref="C86:I86" si="4">+C76</f>
        <v>374</v>
      </c>
      <c r="D86" s="184">
        <f t="shared" si="4"/>
        <v>141</v>
      </c>
      <c r="E86" s="184">
        <f t="shared" si="4"/>
        <v>73</v>
      </c>
      <c r="F86" s="184">
        <f t="shared" si="4"/>
        <v>79</v>
      </c>
      <c r="G86" s="184">
        <f t="shared" si="4"/>
        <v>29</v>
      </c>
      <c r="H86" s="184">
        <f t="shared" si="4"/>
        <v>0</v>
      </c>
      <c r="I86" s="184">
        <f t="shared" si="4"/>
        <v>0</v>
      </c>
      <c r="J86" s="185">
        <f>SUM(C86:I86)</f>
        <v>696</v>
      </c>
    </row>
    <row r="88" spans="2:10" ht="36" customHeight="1" thickBot="1">
      <c r="C88" s="392" t="s">
        <v>36</v>
      </c>
      <c r="D88" s="393"/>
      <c r="E88" s="394"/>
      <c r="G88" s="144"/>
      <c r="H88" s="144"/>
      <c r="I88" s="144"/>
    </row>
    <row r="89" spans="2:10" ht="33" customHeight="1" thickBot="1">
      <c r="C89" s="93"/>
      <c r="D89" s="94">
        <v>2024</v>
      </c>
      <c r="E89" s="94">
        <v>2025</v>
      </c>
      <c r="G89" s="145"/>
      <c r="H89" s="144"/>
      <c r="I89" s="144"/>
    </row>
    <row r="90" spans="2:10" ht="31.5" customHeight="1" thickBot="1">
      <c r="C90" s="95" t="s">
        <v>6</v>
      </c>
      <c r="D90" s="96">
        <v>1792</v>
      </c>
      <c r="E90" s="96">
        <v>1814</v>
      </c>
      <c r="G90" s="146"/>
      <c r="H90" s="147"/>
      <c r="I90" s="147"/>
    </row>
    <row r="91" spans="2:10" ht="23.25" customHeight="1" thickBot="1">
      <c r="C91" s="97" t="s">
        <v>60</v>
      </c>
      <c r="D91" s="99">
        <f>(D90-D92)</f>
        <v>933</v>
      </c>
      <c r="E91" s="99">
        <f>E90-E92</f>
        <v>937</v>
      </c>
      <c r="G91" s="148">
        <f>(D91/D90)</f>
        <v>0.5206473214285714</v>
      </c>
      <c r="H91" s="148">
        <f>(E91/E90)</f>
        <v>0.51653803748621829</v>
      </c>
      <c r="I91" s="149"/>
    </row>
    <row r="92" spans="2:10" ht="23.25" customHeight="1" thickBot="1">
      <c r="C92" s="97" t="s">
        <v>61</v>
      </c>
      <c r="D92" s="98">
        <v>859</v>
      </c>
      <c r="E92" s="98">
        <v>877</v>
      </c>
      <c r="G92" s="148">
        <f>(D92/D90)</f>
        <v>0.47935267857142855</v>
      </c>
      <c r="H92" s="148">
        <f>(E92/E91)</f>
        <v>0.93596584845250796</v>
      </c>
      <c r="I92" s="149"/>
    </row>
    <row r="94" spans="2:10" ht="15.75" thickBot="1"/>
    <row r="95" spans="2:10" ht="43.5" customHeight="1" thickBot="1">
      <c r="C95" s="392" t="s">
        <v>37</v>
      </c>
      <c r="D95" s="393"/>
      <c r="E95" s="394"/>
    </row>
    <row r="96" spans="2:10" ht="30.75" customHeight="1" thickBot="1">
      <c r="C96" s="93"/>
      <c r="D96" s="94">
        <v>2024</v>
      </c>
      <c r="E96" s="94">
        <v>2025</v>
      </c>
    </row>
    <row r="97" spans="3:8" ht="21" thickBot="1">
      <c r="C97" s="95" t="s">
        <v>6</v>
      </c>
      <c r="D97" s="96">
        <v>1665</v>
      </c>
      <c r="E97" s="96">
        <v>1549</v>
      </c>
    </row>
    <row r="98" spans="3:8" ht="21" thickBot="1">
      <c r="C98" s="97" t="s">
        <v>60</v>
      </c>
      <c r="D98" s="99">
        <v>864</v>
      </c>
      <c r="E98" s="99">
        <v>786</v>
      </c>
      <c r="G98" s="239">
        <f>D98/D97</f>
        <v>0.51891891891891895</v>
      </c>
      <c r="H98" s="239">
        <f>E98/E97</f>
        <v>0.50742414460942542</v>
      </c>
    </row>
    <row r="99" spans="3:8" ht="21" thickBot="1">
      <c r="C99" s="97" t="s">
        <v>61</v>
      </c>
      <c r="D99" s="98">
        <v>801</v>
      </c>
      <c r="E99" s="98">
        <v>763</v>
      </c>
      <c r="G99" s="239">
        <f>D99/D97</f>
        <v>0.48108108108108111</v>
      </c>
      <c r="H99" s="239">
        <f>E99/E97</f>
        <v>0.49257585539057458</v>
      </c>
    </row>
    <row r="102" spans="3:8" ht="15.75" thickBot="1"/>
    <row r="103" spans="3:8" ht="38.25" customHeight="1" thickBot="1">
      <c r="C103" s="392" t="s">
        <v>38</v>
      </c>
      <c r="D103" s="393"/>
      <c r="E103" s="394"/>
    </row>
    <row r="104" spans="3:8" ht="21" thickBot="1">
      <c r="C104" s="93"/>
      <c r="D104" s="94">
        <v>2024</v>
      </c>
      <c r="E104" s="94">
        <v>2025</v>
      </c>
    </row>
    <row r="105" spans="3:8" ht="21" thickBot="1">
      <c r="C105" s="95" t="s">
        <v>6</v>
      </c>
      <c r="D105" s="96">
        <v>1757</v>
      </c>
      <c r="E105" s="96">
        <v>1727</v>
      </c>
    </row>
    <row r="106" spans="3:8" ht="21" thickBot="1">
      <c r="C106" s="97" t="s">
        <v>60</v>
      </c>
      <c r="D106" s="99">
        <v>916</v>
      </c>
      <c r="E106" s="99">
        <v>891</v>
      </c>
      <c r="G106" s="239">
        <f>D106/D105</f>
        <v>0.52134319863403533</v>
      </c>
      <c r="H106" s="239">
        <f>E106/E105</f>
        <v>0.51592356687898089</v>
      </c>
    </row>
    <row r="107" spans="3:8" ht="21" thickBot="1">
      <c r="C107" s="97" t="s">
        <v>61</v>
      </c>
      <c r="D107" s="98">
        <v>841</v>
      </c>
      <c r="E107" s="98">
        <v>836</v>
      </c>
      <c r="G107" s="239">
        <f>D107/D105</f>
        <v>0.47865680136596472</v>
      </c>
      <c r="H107" s="239">
        <f>E107/E105</f>
        <v>0.48407643312101911</v>
      </c>
    </row>
    <row r="110" spans="3:8" ht="15.75" thickBot="1"/>
    <row r="111" spans="3:8" ht="40.5" customHeight="1" thickBot="1">
      <c r="C111" s="392" t="s">
        <v>39</v>
      </c>
      <c r="D111" s="393"/>
      <c r="E111" s="394"/>
    </row>
    <row r="112" spans="3:8" ht="21" thickBot="1">
      <c r="C112" s="93"/>
      <c r="D112" s="94">
        <v>2024</v>
      </c>
      <c r="E112" s="94">
        <v>2025</v>
      </c>
    </row>
    <row r="113" spans="3:8" ht="21" thickBot="1">
      <c r="C113" s="95" t="s">
        <v>6</v>
      </c>
      <c r="D113" s="96">
        <v>1830</v>
      </c>
      <c r="E113" s="96">
        <v>1484</v>
      </c>
    </row>
    <row r="114" spans="3:8" ht="21" thickBot="1">
      <c r="C114" s="97" t="s">
        <v>60</v>
      </c>
      <c r="D114" s="99">
        <v>943</v>
      </c>
      <c r="E114" s="99">
        <v>775</v>
      </c>
      <c r="G114" s="239">
        <f>D114/D113</f>
        <v>0.51530054644808743</v>
      </c>
      <c r="H114" s="239">
        <f>E114/E113</f>
        <v>0.52223719676549862</v>
      </c>
    </row>
    <row r="115" spans="3:8" ht="21" thickBot="1">
      <c r="C115" s="97" t="s">
        <v>61</v>
      </c>
      <c r="D115" s="99">
        <v>887</v>
      </c>
      <c r="E115" s="99">
        <v>709</v>
      </c>
      <c r="G115" s="239">
        <f>D115/D113</f>
        <v>0.48469945355191257</v>
      </c>
      <c r="H115" s="239">
        <f>E115/E113</f>
        <v>0.47776280323450132</v>
      </c>
    </row>
    <row r="118" spans="3:8" ht="15.75" thickBot="1"/>
    <row r="119" spans="3:8" ht="38.25" customHeight="1" thickBot="1">
      <c r="C119" s="392" t="s">
        <v>40</v>
      </c>
      <c r="D119" s="393"/>
      <c r="E119" s="394"/>
    </row>
    <row r="120" spans="3:8" ht="30" customHeight="1" thickBot="1">
      <c r="C120" s="93"/>
      <c r="D120" s="94">
        <v>2024</v>
      </c>
      <c r="E120" s="94">
        <v>2025</v>
      </c>
    </row>
    <row r="121" spans="3:8" ht="28.5" customHeight="1" thickBot="1">
      <c r="C121" s="95" t="s">
        <v>6</v>
      </c>
      <c r="D121" s="96">
        <v>1941</v>
      </c>
      <c r="E121" s="96">
        <v>1410</v>
      </c>
    </row>
    <row r="122" spans="3:8" ht="28.5" customHeight="1" thickBot="1">
      <c r="C122" s="97" t="s">
        <v>60</v>
      </c>
      <c r="D122" s="99">
        <v>1284</v>
      </c>
      <c r="E122" s="99">
        <v>1103</v>
      </c>
      <c r="G122" s="239">
        <f>D122/D121</f>
        <v>0.66151468315301387</v>
      </c>
      <c r="H122" s="239">
        <f>E122/E121</f>
        <v>0.78226950354609925</v>
      </c>
    </row>
    <row r="123" spans="3:8" ht="26.25" customHeight="1" thickBot="1">
      <c r="C123" s="97" t="s">
        <v>61</v>
      </c>
      <c r="D123" s="99">
        <v>659</v>
      </c>
      <c r="E123" s="99">
        <v>662</v>
      </c>
      <c r="G123" s="239">
        <f>D123/D121</f>
        <v>0.33951571354971666</v>
      </c>
      <c r="H123" s="239">
        <f>E123/E121</f>
        <v>0.46950354609929079</v>
      </c>
    </row>
    <row r="126" spans="3:8" ht="15.75" thickBot="1"/>
    <row r="127" spans="3:8" ht="36" customHeight="1" thickBot="1">
      <c r="C127" s="392" t="s">
        <v>41</v>
      </c>
      <c r="D127" s="393"/>
      <c r="E127" s="394"/>
    </row>
    <row r="128" spans="3:8" ht="21" thickBot="1">
      <c r="C128" s="93"/>
      <c r="D128" s="94">
        <v>2024</v>
      </c>
      <c r="E128" s="94">
        <v>2025</v>
      </c>
    </row>
    <row r="129" spans="3:12" ht="21" thickBot="1">
      <c r="C129" s="95" t="s">
        <v>6</v>
      </c>
      <c r="D129" s="96">
        <v>1828</v>
      </c>
      <c r="E129" s="96">
        <v>1542</v>
      </c>
    </row>
    <row r="130" spans="3:12" ht="21" thickBot="1">
      <c r="C130" s="97" t="s">
        <v>60</v>
      </c>
      <c r="D130" s="99">
        <v>960</v>
      </c>
      <c r="E130" s="99">
        <v>813</v>
      </c>
      <c r="G130" s="239">
        <f>D130/D129</f>
        <v>0.52516411378555794</v>
      </c>
      <c r="H130" s="239">
        <f>E130/E129</f>
        <v>0.52723735408560313</v>
      </c>
    </row>
    <row r="131" spans="3:12" ht="21" thickBot="1">
      <c r="C131" s="97" t="s">
        <v>61</v>
      </c>
      <c r="D131" s="99">
        <v>868</v>
      </c>
      <c r="E131" s="99">
        <v>729</v>
      </c>
      <c r="G131" s="239">
        <f>D131/D129</f>
        <v>0.474835886214442</v>
      </c>
      <c r="H131" s="239">
        <f>E131/E129</f>
        <v>0.47276264591439687</v>
      </c>
    </row>
    <row r="134" spans="3:12" ht="15.75" thickBot="1"/>
    <row r="135" spans="3:12" ht="33.75" customHeight="1" thickBot="1">
      <c r="C135" s="392" t="s">
        <v>42</v>
      </c>
      <c r="D135" s="393"/>
      <c r="E135" s="394"/>
    </row>
    <row r="136" spans="3:12" ht="21" thickBot="1">
      <c r="C136" s="93"/>
      <c r="D136" s="94">
        <v>2024</v>
      </c>
      <c r="E136" s="94">
        <v>2025</v>
      </c>
    </row>
    <row r="137" spans="3:12" ht="29.25" customHeight="1" thickBot="1">
      <c r="C137" s="95" t="s">
        <v>6</v>
      </c>
      <c r="D137" s="96">
        <v>1955</v>
      </c>
      <c r="E137" s="96">
        <v>1595</v>
      </c>
    </row>
    <row r="138" spans="3:12" ht="28.5" customHeight="1" thickBot="1">
      <c r="C138" s="97" t="s">
        <v>60</v>
      </c>
      <c r="D138" s="99">
        <v>1060</v>
      </c>
      <c r="E138" s="99">
        <v>833</v>
      </c>
      <c r="G138" s="239">
        <f>D138/D137</f>
        <v>0.5421994884910486</v>
      </c>
      <c r="H138" s="239">
        <f>E138/E137</f>
        <v>0.52225705329153604</v>
      </c>
      <c r="L138" s="48"/>
    </row>
    <row r="139" spans="3:12" ht="30" customHeight="1" thickBot="1">
      <c r="C139" s="97" t="s">
        <v>61</v>
      </c>
      <c r="D139" s="99">
        <v>895</v>
      </c>
      <c r="E139" s="99">
        <v>762</v>
      </c>
      <c r="G139" s="239">
        <f>D139/D137</f>
        <v>0.4578005115089514</v>
      </c>
      <c r="H139" s="239">
        <f>E139/E137</f>
        <v>0.47774294670846396</v>
      </c>
    </row>
    <row r="141" spans="3:12" ht="15.75" thickBot="1"/>
    <row r="142" spans="3:12" ht="21" thickBot="1">
      <c r="C142" s="392" t="s">
        <v>43</v>
      </c>
      <c r="D142" s="393"/>
      <c r="E142" s="394"/>
    </row>
    <row r="143" spans="3:12" ht="21" thickBot="1">
      <c r="C143" s="93"/>
      <c r="D143" s="94">
        <v>2024</v>
      </c>
      <c r="E143" s="94">
        <v>2025</v>
      </c>
    </row>
    <row r="144" spans="3:12" ht="21" thickBot="1">
      <c r="C144" s="95" t="s">
        <v>6</v>
      </c>
      <c r="D144" s="96">
        <v>1987</v>
      </c>
      <c r="E144" s="96">
        <v>1612</v>
      </c>
    </row>
    <row r="145" spans="3:12" ht="21" thickBot="1">
      <c r="C145" s="97" t="s">
        <v>60</v>
      </c>
      <c r="D145" s="99">
        <v>999</v>
      </c>
      <c r="E145" s="99">
        <v>805</v>
      </c>
      <c r="G145" s="239">
        <f>D145/D144</f>
        <v>0.50276799194765975</v>
      </c>
      <c r="H145" s="239">
        <f>E145/E144</f>
        <v>0.49937965260545908</v>
      </c>
    </row>
    <row r="146" spans="3:12" ht="21" thickBot="1">
      <c r="C146" s="97" t="s">
        <v>61</v>
      </c>
      <c r="D146" s="99">
        <v>955</v>
      </c>
      <c r="E146" s="99">
        <v>807</v>
      </c>
      <c r="G146" s="239">
        <f>D146/D144</f>
        <v>0.4806240563663815</v>
      </c>
      <c r="H146" s="239">
        <f>E146/E144</f>
        <v>0.50062034739454098</v>
      </c>
    </row>
    <row r="148" spans="3:12" ht="15.75" thickBot="1"/>
    <row r="149" spans="3:12" ht="21" thickBot="1">
      <c r="C149" s="392" t="s">
        <v>44</v>
      </c>
      <c r="D149" s="393"/>
      <c r="E149" s="394"/>
    </row>
    <row r="150" spans="3:12" ht="21" thickBot="1">
      <c r="C150" s="93"/>
      <c r="D150" s="94">
        <v>2024</v>
      </c>
      <c r="E150" s="94">
        <v>2025</v>
      </c>
    </row>
    <row r="151" spans="3:12" ht="21" thickBot="1">
      <c r="C151" s="95" t="s">
        <v>6</v>
      </c>
      <c r="D151" s="96">
        <v>1789</v>
      </c>
      <c r="E151" s="96">
        <v>1579</v>
      </c>
      <c r="L151" s="48"/>
    </row>
    <row r="152" spans="3:12" ht="21" thickBot="1">
      <c r="C152" s="97" t="s">
        <v>60</v>
      </c>
      <c r="D152" s="99">
        <v>964</v>
      </c>
      <c r="E152" s="99">
        <f>E151-E153</f>
        <v>791</v>
      </c>
      <c r="G152" s="239">
        <f>D152/D151</f>
        <v>0.53884851872554496</v>
      </c>
      <c r="H152" s="239">
        <f>E152/E151</f>
        <v>0.50094996833438887</v>
      </c>
    </row>
    <row r="153" spans="3:12" ht="21" thickBot="1">
      <c r="C153" s="97" t="s">
        <v>61</v>
      </c>
      <c r="D153" s="99">
        <v>825</v>
      </c>
      <c r="E153" s="99">
        <v>788</v>
      </c>
      <c r="G153" s="239">
        <f>D153/D151</f>
        <v>0.46115148127445499</v>
      </c>
      <c r="H153" s="239">
        <f>E153/E151</f>
        <v>0.49905003166561113</v>
      </c>
    </row>
    <row r="154" spans="3:12" ht="15.75" thickBot="1"/>
    <row r="155" spans="3:12" ht="21" thickBot="1">
      <c r="C155" s="392" t="s">
        <v>45</v>
      </c>
      <c r="D155" s="393"/>
      <c r="E155" s="394"/>
    </row>
    <row r="156" spans="3:12" ht="21" thickBot="1">
      <c r="C156" s="93"/>
      <c r="D156" s="94">
        <v>2024</v>
      </c>
      <c r="E156" s="94">
        <v>2025</v>
      </c>
    </row>
    <row r="157" spans="3:12" ht="21" thickBot="1">
      <c r="C157" s="95" t="s">
        <v>6</v>
      </c>
      <c r="D157" s="96">
        <v>1740</v>
      </c>
      <c r="E157" s="96">
        <v>1709</v>
      </c>
    </row>
    <row r="158" spans="3:12" ht="21" thickBot="1">
      <c r="C158" s="97" t="s">
        <v>60</v>
      </c>
      <c r="D158" s="99">
        <f>D157-D159</f>
        <v>868</v>
      </c>
      <c r="E158" s="99">
        <f>E157-E159</f>
        <v>889</v>
      </c>
      <c r="G158" s="239">
        <f>D158/D157</f>
        <v>0.49885057471264366</v>
      </c>
      <c r="H158" s="239">
        <f>E158/E157</f>
        <v>0.52018724400234051</v>
      </c>
    </row>
    <row r="159" spans="3:12" ht="21" thickBot="1">
      <c r="C159" s="97" t="s">
        <v>61</v>
      </c>
      <c r="D159" s="99">
        <v>872</v>
      </c>
      <c r="E159" s="99">
        <v>820</v>
      </c>
      <c r="G159" s="239">
        <f>D159/D157</f>
        <v>0.50114942528735629</v>
      </c>
      <c r="H159" s="239">
        <f>E159/E157</f>
        <v>0.47981275599765943</v>
      </c>
    </row>
    <row r="160" spans="3:12" ht="21" thickBot="1">
      <c r="C160" s="342"/>
      <c r="D160" s="343"/>
      <c r="E160" s="343"/>
      <c r="G160" s="239"/>
      <c r="H160" s="239"/>
    </row>
    <row r="161" spans="3:8" ht="21" thickBot="1">
      <c r="C161" s="392" t="s">
        <v>46</v>
      </c>
      <c r="D161" s="393"/>
      <c r="E161" s="394"/>
    </row>
    <row r="162" spans="3:8" ht="21" thickBot="1">
      <c r="C162" s="93"/>
      <c r="D162" s="94">
        <v>2024</v>
      </c>
      <c r="E162" s="94">
        <v>2025</v>
      </c>
    </row>
    <row r="163" spans="3:8" ht="19.5" customHeight="1" thickBot="1">
      <c r="C163" s="95" t="s">
        <v>6</v>
      </c>
      <c r="D163" s="96">
        <v>1714</v>
      </c>
      <c r="E163" s="96">
        <v>1813</v>
      </c>
    </row>
    <row r="164" spans="3:8" ht="21" thickBot="1">
      <c r="C164" s="97" t="s">
        <v>60</v>
      </c>
      <c r="D164" s="99">
        <f>D163-D165</f>
        <v>901</v>
      </c>
      <c r="E164" s="99">
        <f>E163-E165</f>
        <v>888</v>
      </c>
      <c r="G164" s="239">
        <f>D164/D163</f>
        <v>0.52567094515752621</v>
      </c>
      <c r="H164" s="239">
        <f>E164/E163</f>
        <v>0.48979591836734693</v>
      </c>
    </row>
    <row r="165" spans="3:8" ht="21" thickBot="1">
      <c r="C165" s="97" t="s">
        <v>61</v>
      </c>
      <c r="D165" s="99">
        <v>813</v>
      </c>
      <c r="E165" s="99">
        <v>925</v>
      </c>
      <c r="G165" s="239">
        <f>D165/D163</f>
        <v>0.47432905484247373</v>
      </c>
      <c r="H165" s="239">
        <f>E165/E163</f>
        <v>0.51020408163265307</v>
      </c>
    </row>
    <row r="166" spans="3:8" ht="15.75" thickBot="1"/>
    <row r="167" spans="3:8" ht="21" thickBot="1">
      <c r="C167" s="392" t="s">
        <v>47</v>
      </c>
      <c r="D167" s="393"/>
      <c r="E167" s="394"/>
    </row>
    <row r="168" spans="3:8" ht="21" thickBot="1">
      <c r="C168" s="93"/>
      <c r="D168" s="94">
        <v>2024</v>
      </c>
      <c r="E168" s="94">
        <v>2025</v>
      </c>
    </row>
    <row r="169" spans="3:8" ht="21" thickBot="1">
      <c r="C169" s="95" t="s">
        <v>6</v>
      </c>
      <c r="D169" s="96">
        <v>1823</v>
      </c>
      <c r="E169" s="96">
        <v>1951</v>
      </c>
    </row>
    <row r="170" spans="3:8" ht="21" thickBot="1">
      <c r="C170" s="97" t="s">
        <v>60</v>
      </c>
      <c r="D170" s="99">
        <f>D169-D171</f>
        <v>1127</v>
      </c>
      <c r="E170" s="99">
        <f>E169-E171</f>
        <v>1000</v>
      </c>
      <c r="G170" s="239">
        <f>D170/D169</f>
        <v>0.61821173889193637</v>
      </c>
      <c r="H170" s="239">
        <f>E170/E169</f>
        <v>0.51255766273705794</v>
      </c>
    </row>
    <row r="171" spans="3:8" ht="21" thickBot="1">
      <c r="C171" s="97" t="s">
        <v>61</v>
      </c>
      <c r="D171" s="99">
        <v>696</v>
      </c>
      <c r="E171" s="99">
        <v>951</v>
      </c>
      <c r="G171" s="239">
        <f>D171/D169</f>
        <v>0.38178826110806363</v>
      </c>
      <c r="H171" s="239">
        <f>E171/E169</f>
        <v>0.48744233726294206</v>
      </c>
    </row>
  </sheetData>
  <mergeCells count="26">
    <mergeCell ref="B2:M2"/>
    <mergeCell ref="C142:E142"/>
    <mergeCell ref="C149:E149"/>
    <mergeCell ref="C135:E135"/>
    <mergeCell ref="K33:K34"/>
    <mergeCell ref="B84:J84"/>
    <mergeCell ref="C127:E127"/>
    <mergeCell ref="B74:J74"/>
    <mergeCell ref="B69:H69"/>
    <mergeCell ref="C119:E119"/>
    <mergeCell ref="B32:K32"/>
    <mergeCell ref="B33:B34"/>
    <mergeCell ref="C33:E33"/>
    <mergeCell ref="F33:F34"/>
    <mergeCell ref="G33:I33"/>
    <mergeCell ref="J33:J34"/>
    <mergeCell ref="C155:E155"/>
    <mergeCell ref="B60:I60"/>
    <mergeCell ref="C161:E161"/>
    <mergeCell ref="C167:E167"/>
    <mergeCell ref="G49:K49"/>
    <mergeCell ref="C49:F49"/>
    <mergeCell ref="C103:E103"/>
    <mergeCell ref="C111:E111"/>
    <mergeCell ref="C95:E95"/>
    <mergeCell ref="C88:E88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66"/>
  <sheetViews>
    <sheetView topLeftCell="A7" workbookViewId="0">
      <selection activeCell="D16" sqref="D16"/>
    </sheetView>
  </sheetViews>
  <sheetFormatPr baseColWidth="10" defaultRowHeight="15"/>
  <cols>
    <col min="2" max="2" width="18" customWidth="1"/>
    <col min="3" max="10" width="11.140625" customWidth="1"/>
    <col min="11" max="14" width="13.28515625" customWidth="1"/>
    <col min="23" max="23" width="32.42578125" customWidth="1"/>
  </cols>
  <sheetData>
    <row r="1" spans="2:3" ht="15.75" thickBot="1"/>
    <row r="2" spans="2:3" ht="23.25" customHeight="1">
      <c r="B2" s="443" t="s">
        <v>177</v>
      </c>
      <c r="C2" s="444"/>
    </row>
    <row r="3" spans="2:3" ht="18.75" customHeight="1">
      <c r="B3" s="85" t="s">
        <v>0</v>
      </c>
      <c r="C3" s="86" t="s">
        <v>78</v>
      </c>
    </row>
    <row r="4" spans="2:3" ht="18.75" customHeight="1">
      <c r="B4" s="189" t="s">
        <v>3</v>
      </c>
      <c r="C4" s="190">
        <v>7684</v>
      </c>
    </row>
    <row r="5" spans="2:3" ht="18.75" customHeight="1">
      <c r="B5" s="189" t="s">
        <v>77</v>
      </c>
      <c r="C5" s="190">
        <v>66829</v>
      </c>
    </row>
    <row r="6" spans="2:3" ht="26.25" customHeight="1" thickBot="1">
      <c r="B6" s="191" t="s">
        <v>151</v>
      </c>
      <c r="C6" s="192">
        <f>SUM(C4:C5)</f>
        <v>74513</v>
      </c>
    </row>
    <row r="7" spans="2:3" ht="15.75" thickBot="1"/>
    <row r="8" spans="2:3" ht="37.5" customHeight="1">
      <c r="B8" s="448" t="s">
        <v>124</v>
      </c>
      <c r="C8" s="449"/>
    </row>
    <row r="9" spans="2:3">
      <c r="B9" s="85" t="s">
        <v>0</v>
      </c>
      <c r="C9" s="86" t="s">
        <v>78</v>
      </c>
    </row>
    <row r="10" spans="2:3">
      <c r="B10" s="189" t="s">
        <v>5</v>
      </c>
      <c r="C10" s="190">
        <v>4903</v>
      </c>
    </row>
    <row r="11" spans="2:3">
      <c r="B11" s="189" t="s">
        <v>3</v>
      </c>
      <c r="C11" s="190">
        <v>33706</v>
      </c>
    </row>
    <row r="12" spans="2:3">
      <c r="B12" s="189" t="s">
        <v>77</v>
      </c>
      <c r="C12" s="190">
        <v>395279</v>
      </c>
    </row>
    <row r="13" spans="2:3" ht="26.25" thickBot="1">
      <c r="B13" s="240" t="s">
        <v>125</v>
      </c>
      <c r="C13" s="192">
        <f>SUM(C10:C12)</f>
        <v>433888</v>
      </c>
    </row>
    <row r="15" spans="2:3" ht="15.75" thickBot="1"/>
    <row r="16" spans="2:3" ht="33.75" customHeight="1">
      <c r="B16" s="448" t="s">
        <v>193</v>
      </c>
      <c r="C16" s="449"/>
    </row>
    <row r="17" spans="2:14">
      <c r="B17" s="85" t="s">
        <v>0</v>
      </c>
      <c r="C17" s="86" t="s">
        <v>78</v>
      </c>
    </row>
    <row r="18" spans="2:14">
      <c r="B18" s="189" t="s">
        <v>5</v>
      </c>
      <c r="C18" s="190">
        <v>0</v>
      </c>
    </row>
    <row r="19" spans="2:14">
      <c r="B19" s="189" t="s">
        <v>3</v>
      </c>
      <c r="C19" s="190">
        <v>34340</v>
      </c>
    </row>
    <row r="20" spans="2:14">
      <c r="B20" s="189" t="s">
        <v>77</v>
      </c>
      <c r="C20" s="190">
        <v>380231</v>
      </c>
    </row>
    <row r="21" spans="2:14" ht="26.25" thickBot="1">
      <c r="B21" s="240" t="s">
        <v>194</v>
      </c>
      <c r="C21" s="192">
        <f>SUM(C18:C20)</f>
        <v>414571</v>
      </c>
    </row>
    <row r="22" spans="2:14" ht="15.75" thickBot="1"/>
    <row r="23" spans="2:14" ht="15.75" thickBot="1">
      <c r="B23" s="114"/>
      <c r="C23" s="450" t="s">
        <v>99</v>
      </c>
      <c r="D23" s="451"/>
      <c r="E23" s="451"/>
      <c r="F23" s="451"/>
      <c r="G23" s="451"/>
      <c r="H23" s="451"/>
      <c r="I23" s="451"/>
      <c r="J23" s="280"/>
      <c r="K23" s="280"/>
      <c r="L23" s="280"/>
      <c r="M23" s="280"/>
      <c r="N23" s="281"/>
    </row>
    <row r="24" spans="2:14">
      <c r="B24" s="115"/>
      <c r="C24" s="284"/>
      <c r="D24" s="285"/>
      <c r="E24" s="285"/>
      <c r="F24" s="285"/>
      <c r="G24" s="285"/>
      <c r="H24" s="285"/>
      <c r="I24" s="285"/>
      <c r="J24" s="285"/>
      <c r="K24" s="285"/>
      <c r="L24" s="285"/>
      <c r="M24" s="285"/>
      <c r="N24" s="286"/>
    </row>
    <row r="25" spans="2:14" ht="26.25">
      <c r="B25" s="124" t="s">
        <v>108</v>
      </c>
      <c r="C25" s="116" t="s">
        <v>79</v>
      </c>
      <c r="D25" s="117" t="s">
        <v>80</v>
      </c>
      <c r="E25" s="117" t="s">
        <v>81</v>
      </c>
      <c r="F25" s="117" t="s">
        <v>82</v>
      </c>
      <c r="G25" s="117" t="s">
        <v>83</v>
      </c>
      <c r="H25" s="117" t="s">
        <v>84</v>
      </c>
      <c r="I25" s="117" t="s">
        <v>85</v>
      </c>
      <c r="J25" s="117" t="s">
        <v>86</v>
      </c>
      <c r="K25" s="117" t="s">
        <v>87</v>
      </c>
      <c r="L25" s="117" t="s">
        <v>88</v>
      </c>
      <c r="M25" s="117" t="s">
        <v>89</v>
      </c>
      <c r="N25" s="118" t="s">
        <v>90</v>
      </c>
    </row>
    <row r="26" spans="2:14">
      <c r="B26" s="119" t="s">
        <v>91</v>
      </c>
      <c r="C26" s="120">
        <v>5936</v>
      </c>
      <c r="D26" s="121">
        <v>4828</v>
      </c>
      <c r="E26" s="121">
        <v>5792</v>
      </c>
      <c r="F26" s="121">
        <v>6690</v>
      </c>
      <c r="G26" s="121">
        <v>4289</v>
      </c>
      <c r="H26" s="121">
        <v>6171</v>
      </c>
      <c r="I26" s="121">
        <v>5322</v>
      </c>
      <c r="J26" s="121">
        <v>6117</v>
      </c>
      <c r="K26" s="121">
        <v>3933</v>
      </c>
      <c r="L26" s="121">
        <v>3600</v>
      </c>
      <c r="M26" s="121">
        <v>7684</v>
      </c>
      <c r="N26" s="122">
        <v>7684</v>
      </c>
    </row>
    <row r="27" spans="2:14">
      <c r="B27" s="123" t="s">
        <v>109</v>
      </c>
      <c r="C27" s="456">
        <f>SUM(C26:N26)</f>
        <v>68046</v>
      </c>
      <c r="D27" s="457"/>
      <c r="E27" s="457"/>
      <c r="F27" s="457"/>
      <c r="G27" s="457"/>
      <c r="H27" s="457"/>
      <c r="I27" s="457"/>
      <c r="J27" s="457"/>
      <c r="K27" s="457"/>
      <c r="L27" s="287"/>
      <c r="M27" s="287"/>
      <c r="N27" s="288"/>
    </row>
    <row r="28" spans="2:14" ht="12.75" customHeight="1" thickBot="1">
      <c r="B28" s="421" t="s">
        <v>92</v>
      </c>
      <c r="C28" s="422"/>
      <c r="D28" s="422"/>
      <c r="E28" s="422"/>
      <c r="F28" s="422"/>
      <c r="G28" s="422"/>
      <c r="H28" s="422"/>
      <c r="I28" s="422"/>
      <c r="J28" s="282"/>
      <c r="K28" s="282"/>
      <c r="L28" s="282"/>
      <c r="M28" s="282"/>
      <c r="N28" s="283"/>
    </row>
    <row r="30" spans="2:14" ht="15.75" thickBot="1"/>
    <row r="31" spans="2:14" ht="15.75" thickBot="1">
      <c r="B31" s="46"/>
      <c r="C31" s="452" t="s">
        <v>100</v>
      </c>
      <c r="D31" s="453"/>
      <c r="E31" s="453"/>
      <c r="F31" s="453"/>
      <c r="G31" s="453"/>
      <c r="H31" s="453"/>
      <c r="I31" s="453"/>
      <c r="J31" s="289"/>
      <c r="K31" s="289"/>
      <c r="L31" s="289"/>
      <c r="M31" s="289"/>
      <c r="N31" s="290"/>
    </row>
    <row r="32" spans="2:14">
      <c r="B32" s="47"/>
      <c r="C32" s="291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3"/>
    </row>
    <row r="33" spans="2:14" ht="30">
      <c r="B33" s="106" t="s">
        <v>108</v>
      </c>
      <c r="C33" s="107" t="s">
        <v>79</v>
      </c>
      <c r="D33" s="108" t="s">
        <v>80</v>
      </c>
      <c r="E33" s="108" t="s">
        <v>81</v>
      </c>
      <c r="F33" s="108" t="s">
        <v>82</v>
      </c>
      <c r="G33" s="108" t="s">
        <v>83</v>
      </c>
      <c r="H33" s="108" t="s">
        <v>84</v>
      </c>
      <c r="I33" s="108" t="s">
        <v>85</v>
      </c>
      <c r="J33" s="108" t="s">
        <v>86</v>
      </c>
      <c r="K33" s="108" t="s">
        <v>87</v>
      </c>
      <c r="L33" s="108" t="s">
        <v>88</v>
      </c>
      <c r="M33" s="108" t="s">
        <v>89</v>
      </c>
      <c r="N33" s="109" t="s">
        <v>90</v>
      </c>
    </row>
    <row r="34" spans="2:14">
      <c r="B34" s="103" t="s">
        <v>91</v>
      </c>
      <c r="C34" s="104">
        <v>76931</v>
      </c>
      <c r="D34" s="105">
        <v>71983</v>
      </c>
      <c r="E34" s="105">
        <v>60392</v>
      </c>
      <c r="F34" s="105">
        <v>60392</v>
      </c>
      <c r="G34" s="105">
        <v>62009</v>
      </c>
      <c r="H34" s="105">
        <v>63572</v>
      </c>
      <c r="I34" s="105">
        <v>51617</v>
      </c>
      <c r="J34" s="105">
        <v>61483</v>
      </c>
      <c r="K34" s="105">
        <v>61509</v>
      </c>
      <c r="L34" s="105">
        <v>62653</v>
      </c>
      <c r="M34" s="105">
        <v>75140</v>
      </c>
      <c r="N34" s="67">
        <v>66829</v>
      </c>
    </row>
    <row r="35" spans="2:14">
      <c r="B35" s="102" t="s">
        <v>109</v>
      </c>
      <c r="C35" s="454">
        <f>SUM(C34:N34)</f>
        <v>774510</v>
      </c>
      <c r="D35" s="455"/>
      <c r="E35" s="455"/>
      <c r="F35" s="455"/>
      <c r="G35" s="455"/>
      <c r="H35" s="455"/>
      <c r="I35" s="455"/>
      <c r="J35" s="455"/>
      <c r="K35" s="455"/>
      <c r="L35" s="294"/>
      <c r="M35" s="294"/>
      <c r="N35" s="295"/>
    </row>
    <row r="36" spans="2:14" ht="15.75" customHeight="1" thickBot="1">
      <c r="B36" s="440" t="s">
        <v>92</v>
      </c>
      <c r="C36" s="441"/>
      <c r="D36" s="441"/>
      <c r="E36" s="441"/>
      <c r="F36" s="441"/>
      <c r="G36" s="441"/>
      <c r="H36" s="441"/>
      <c r="I36" s="441"/>
      <c r="J36" s="296"/>
      <c r="K36" s="296"/>
      <c r="L36" s="296"/>
      <c r="M36" s="296"/>
      <c r="N36" s="297"/>
    </row>
    <row r="38" spans="2:14" ht="15.75" thickBot="1"/>
    <row r="39" spans="2:14" ht="15.75" thickBot="1">
      <c r="B39" s="46"/>
      <c r="C39" s="445" t="s">
        <v>100</v>
      </c>
      <c r="D39" s="446"/>
      <c r="E39" s="446"/>
      <c r="F39" s="446"/>
      <c r="G39" s="446"/>
      <c r="H39" s="446"/>
      <c r="I39" s="446"/>
      <c r="J39" s="446"/>
      <c r="K39" s="446"/>
      <c r="L39" s="446"/>
      <c r="M39" s="446"/>
      <c r="N39" s="447"/>
    </row>
    <row r="40" spans="2:14" ht="19.5" customHeight="1">
      <c r="B40" s="47"/>
      <c r="C40" s="426"/>
      <c r="D40" s="426"/>
      <c r="E40" s="426"/>
      <c r="F40" s="426"/>
      <c r="G40" s="426"/>
      <c r="H40" s="426"/>
      <c r="I40" s="426"/>
      <c r="J40" s="426"/>
      <c r="K40" s="426"/>
      <c r="L40" s="426"/>
      <c r="M40" s="426"/>
      <c r="N40" s="427"/>
    </row>
    <row r="41" spans="2:14" ht="30">
      <c r="B41" s="113" t="s">
        <v>108</v>
      </c>
      <c r="C41" s="110" t="s">
        <v>79</v>
      </c>
      <c r="D41" s="110" t="s">
        <v>80</v>
      </c>
      <c r="E41" s="110" t="s">
        <v>81</v>
      </c>
      <c r="F41" s="110" t="s">
        <v>82</v>
      </c>
      <c r="G41" s="110" t="s">
        <v>83</v>
      </c>
      <c r="H41" s="110" t="s">
        <v>84</v>
      </c>
      <c r="I41" s="110" t="s">
        <v>85</v>
      </c>
      <c r="J41" s="110" t="s">
        <v>86</v>
      </c>
      <c r="K41" s="110" t="s">
        <v>87</v>
      </c>
      <c r="L41" s="110" t="s">
        <v>88</v>
      </c>
      <c r="M41" s="110" t="s">
        <v>89</v>
      </c>
      <c r="N41" s="111" t="s">
        <v>90</v>
      </c>
    </row>
    <row r="42" spans="2:14">
      <c r="B42" s="112" t="s">
        <v>91</v>
      </c>
      <c r="C42" s="105">
        <v>4903</v>
      </c>
      <c r="D42" s="105" t="s">
        <v>95</v>
      </c>
      <c r="E42" s="105" t="s">
        <v>95</v>
      </c>
      <c r="F42" s="105" t="s">
        <v>95</v>
      </c>
      <c r="G42" s="105" t="s">
        <v>95</v>
      </c>
      <c r="H42" s="105" t="s">
        <v>95</v>
      </c>
      <c r="I42" s="105" t="s">
        <v>95</v>
      </c>
      <c r="J42" s="105" t="s">
        <v>95</v>
      </c>
      <c r="K42" s="105" t="s">
        <v>95</v>
      </c>
      <c r="L42" s="105" t="s">
        <v>95</v>
      </c>
      <c r="M42" s="105" t="s">
        <v>95</v>
      </c>
      <c r="N42" s="67" t="s">
        <v>95</v>
      </c>
    </row>
    <row r="43" spans="2:14">
      <c r="B43" s="100" t="s">
        <v>109</v>
      </c>
      <c r="C43" s="458">
        <f>+C42</f>
        <v>4903</v>
      </c>
      <c r="D43" s="455"/>
      <c r="E43" s="455"/>
      <c r="F43" s="455"/>
      <c r="G43" s="455"/>
      <c r="H43" s="455"/>
      <c r="I43" s="455"/>
      <c r="J43" s="455"/>
      <c r="K43" s="455"/>
      <c r="L43" s="294"/>
      <c r="M43" s="294"/>
      <c r="N43" s="295"/>
    </row>
    <row r="44" spans="2:14" ht="14.25" customHeight="1" thickBot="1">
      <c r="B44" s="421" t="s">
        <v>92</v>
      </c>
      <c r="C44" s="422"/>
      <c r="D44" s="422"/>
      <c r="E44" s="422"/>
      <c r="F44" s="422"/>
      <c r="G44" s="422"/>
      <c r="H44" s="422"/>
      <c r="I44" s="422"/>
      <c r="J44" s="422"/>
      <c r="K44" s="422"/>
      <c r="L44" s="422"/>
      <c r="M44" s="422"/>
      <c r="N44" s="442"/>
    </row>
    <row r="46" spans="2:14" ht="15.75" thickBot="1"/>
    <row r="47" spans="2:14" ht="15.75" thickBot="1">
      <c r="B47" s="46"/>
      <c r="C47" s="423" t="s">
        <v>100</v>
      </c>
      <c r="D47" s="424"/>
      <c r="E47" s="424"/>
      <c r="F47" s="424"/>
      <c r="G47" s="424"/>
      <c r="H47" s="424"/>
      <c r="I47" s="424"/>
      <c r="J47" s="424"/>
      <c r="K47" s="424"/>
      <c r="L47" s="424"/>
      <c r="M47" s="424"/>
      <c r="N47" s="425"/>
    </row>
    <row r="48" spans="2:14">
      <c r="B48" s="47"/>
      <c r="C48" s="426"/>
      <c r="D48" s="426"/>
      <c r="E48" s="426"/>
      <c r="F48" s="426"/>
      <c r="G48" s="426"/>
      <c r="H48" s="426"/>
      <c r="I48" s="426"/>
      <c r="J48" s="426"/>
      <c r="K48" s="426"/>
      <c r="L48" s="426"/>
      <c r="M48" s="426"/>
      <c r="N48" s="427"/>
    </row>
    <row r="49" spans="2:15" ht="30">
      <c r="B49" s="127" t="s">
        <v>108</v>
      </c>
      <c r="C49" s="125" t="s">
        <v>79</v>
      </c>
      <c r="D49" s="125" t="s">
        <v>80</v>
      </c>
      <c r="E49" s="125" t="s">
        <v>81</v>
      </c>
      <c r="F49" s="125" t="s">
        <v>82</v>
      </c>
      <c r="G49" s="125" t="s">
        <v>83</v>
      </c>
      <c r="H49" s="125" t="s">
        <v>84</v>
      </c>
      <c r="I49" s="125" t="s">
        <v>85</v>
      </c>
      <c r="J49" s="125" t="s">
        <v>86</v>
      </c>
      <c r="K49" s="125" t="s">
        <v>87</v>
      </c>
      <c r="L49" s="125" t="s">
        <v>88</v>
      </c>
      <c r="M49" s="125" t="s">
        <v>89</v>
      </c>
      <c r="N49" s="126" t="s">
        <v>90</v>
      </c>
    </row>
    <row r="50" spans="2:15">
      <c r="B50" s="112" t="s">
        <v>91</v>
      </c>
      <c r="C50" s="105" t="s">
        <v>95</v>
      </c>
      <c r="D50" s="105" t="s">
        <v>95</v>
      </c>
      <c r="E50" s="105" t="s">
        <v>95</v>
      </c>
      <c r="F50" s="105" t="s">
        <v>95</v>
      </c>
      <c r="G50" s="105" t="s">
        <v>95</v>
      </c>
      <c r="H50" s="105" t="s">
        <v>95</v>
      </c>
      <c r="I50" s="105" t="s">
        <v>95</v>
      </c>
      <c r="J50" s="105" t="s">
        <v>95</v>
      </c>
      <c r="K50" s="105" t="s">
        <v>95</v>
      </c>
      <c r="L50" s="105" t="s">
        <v>95</v>
      </c>
      <c r="M50" s="105" t="s">
        <v>95</v>
      </c>
      <c r="N50" s="67" t="s">
        <v>95</v>
      </c>
    </row>
    <row r="51" spans="2:15">
      <c r="B51" s="101" t="s">
        <v>109</v>
      </c>
      <c r="C51" s="428">
        <f>SUM(C50:N50)</f>
        <v>0</v>
      </c>
      <c r="D51" s="429"/>
      <c r="E51" s="429"/>
      <c r="F51" s="429"/>
      <c r="G51" s="429"/>
      <c r="H51" s="429"/>
      <c r="I51" s="429"/>
      <c r="J51" s="429"/>
      <c r="K51" s="429"/>
      <c r="L51" s="429"/>
      <c r="M51" s="429"/>
      <c r="N51" s="430"/>
    </row>
    <row r="52" spans="2:15" ht="30" thickBot="1">
      <c r="B52" s="150" t="s">
        <v>92</v>
      </c>
      <c r="C52" s="431"/>
      <c r="D52" s="432"/>
      <c r="E52" s="432"/>
      <c r="F52" s="432"/>
      <c r="G52" s="432"/>
      <c r="H52" s="432"/>
      <c r="I52" s="432"/>
      <c r="J52" s="432"/>
      <c r="K52" s="432"/>
      <c r="L52" s="432"/>
      <c r="M52" s="432"/>
      <c r="N52" s="433"/>
    </row>
    <row r="54" spans="2:15" ht="15.75" thickBot="1"/>
    <row r="55" spans="2:15">
      <c r="B55" s="434" t="s">
        <v>100</v>
      </c>
      <c r="C55" s="435"/>
      <c r="D55" s="435"/>
      <c r="E55" s="435"/>
      <c r="F55" s="435"/>
      <c r="G55" s="435"/>
      <c r="H55" s="435"/>
      <c r="I55" s="435"/>
      <c r="J55" s="435"/>
      <c r="K55" s="435"/>
      <c r="L55" s="435"/>
      <c r="M55" s="435"/>
      <c r="N55" s="436"/>
    </row>
    <row r="56" spans="2:15" ht="26.25">
      <c r="B56" s="151" t="s">
        <v>108</v>
      </c>
      <c r="C56" s="152" t="s">
        <v>79</v>
      </c>
      <c r="D56" s="152" t="s">
        <v>80</v>
      </c>
      <c r="E56" s="152" t="s">
        <v>81</v>
      </c>
      <c r="F56" s="152" t="s">
        <v>82</v>
      </c>
      <c r="G56" s="152" t="s">
        <v>83</v>
      </c>
      <c r="H56" s="152" t="s">
        <v>84</v>
      </c>
      <c r="I56" s="152" t="s">
        <v>85</v>
      </c>
      <c r="J56" s="152" t="s">
        <v>86</v>
      </c>
      <c r="K56" s="152" t="s">
        <v>87</v>
      </c>
      <c r="L56" s="152" t="s">
        <v>88</v>
      </c>
      <c r="M56" s="152" t="s">
        <v>89</v>
      </c>
      <c r="N56" s="153" t="s">
        <v>90</v>
      </c>
    </row>
    <row r="57" spans="2:15">
      <c r="B57" s="128" t="s">
        <v>77</v>
      </c>
      <c r="C57" s="120">
        <v>76931</v>
      </c>
      <c r="D57" s="121">
        <v>71983</v>
      </c>
      <c r="E57" s="121">
        <v>60392</v>
      </c>
      <c r="F57" s="121">
        <v>60392</v>
      </c>
      <c r="G57" s="121">
        <v>62009</v>
      </c>
      <c r="H57" s="121">
        <v>63572</v>
      </c>
      <c r="I57" s="121">
        <v>51617</v>
      </c>
      <c r="J57" s="121">
        <v>61483</v>
      </c>
      <c r="K57" s="121">
        <v>61509</v>
      </c>
      <c r="L57" s="121">
        <v>63653</v>
      </c>
      <c r="M57" s="121">
        <v>75140</v>
      </c>
      <c r="N57" s="122">
        <v>66829</v>
      </c>
      <c r="O57" s="347">
        <f>SUM(C57:N57)</f>
        <v>775510</v>
      </c>
    </row>
    <row r="58" spans="2:15">
      <c r="B58" s="128" t="s">
        <v>3</v>
      </c>
      <c r="C58" s="120">
        <v>5936</v>
      </c>
      <c r="D58" s="121">
        <v>4828</v>
      </c>
      <c r="E58" s="121">
        <v>5792</v>
      </c>
      <c r="F58" s="121">
        <v>6690</v>
      </c>
      <c r="G58" s="121">
        <v>4289</v>
      </c>
      <c r="H58" s="121">
        <v>6171</v>
      </c>
      <c r="I58" s="121">
        <v>5322</v>
      </c>
      <c r="J58" s="121">
        <v>6117</v>
      </c>
      <c r="K58" s="121">
        <v>3933</v>
      </c>
      <c r="L58" s="121">
        <v>3600</v>
      </c>
      <c r="M58" s="121">
        <v>7684</v>
      </c>
      <c r="N58" s="122">
        <v>7684</v>
      </c>
      <c r="O58" s="347">
        <f>SUM(C58:N58)</f>
        <v>68046</v>
      </c>
    </row>
    <row r="59" spans="2:15">
      <c r="B59" s="128" t="s">
        <v>5</v>
      </c>
      <c r="C59" s="121">
        <v>4903</v>
      </c>
      <c r="D59" s="121" t="s">
        <v>95</v>
      </c>
      <c r="E59" s="121" t="s">
        <v>95</v>
      </c>
      <c r="F59" s="121" t="s">
        <v>95</v>
      </c>
      <c r="G59" s="121" t="s">
        <v>95</v>
      </c>
      <c r="H59" s="121" t="s">
        <v>95</v>
      </c>
      <c r="I59" s="121" t="s">
        <v>95</v>
      </c>
      <c r="J59" s="121" t="s">
        <v>95</v>
      </c>
      <c r="K59" s="121" t="s">
        <v>95</v>
      </c>
      <c r="L59" s="121" t="s">
        <v>95</v>
      </c>
      <c r="M59" s="121" t="s">
        <v>95</v>
      </c>
      <c r="N59" s="122" t="s">
        <v>95</v>
      </c>
      <c r="O59" s="347">
        <f t="shared" ref="O59:O60" si="0">SUM(C59:N59)</f>
        <v>4903</v>
      </c>
    </row>
    <row r="60" spans="2:15" ht="18">
      <c r="B60" s="130" t="s">
        <v>96</v>
      </c>
      <c r="C60" s="131">
        <f t="shared" ref="C60:F60" si="1">SUM(C57:C59)</f>
        <v>87770</v>
      </c>
      <c r="D60" s="131">
        <f t="shared" si="1"/>
        <v>76811</v>
      </c>
      <c r="E60" s="131">
        <f t="shared" si="1"/>
        <v>66184</v>
      </c>
      <c r="F60" s="131">
        <f t="shared" si="1"/>
        <v>67082</v>
      </c>
      <c r="G60" s="131">
        <f>SUM(G57:G59)</f>
        <v>66298</v>
      </c>
      <c r="H60" s="131">
        <f>SUM(H57:H59)</f>
        <v>69743</v>
      </c>
      <c r="I60" s="131">
        <f>SUM(I57:I59)</f>
        <v>56939</v>
      </c>
      <c r="J60" s="131">
        <f t="shared" ref="J60:N60" si="2">SUM(J57:J59)</f>
        <v>67600</v>
      </c>
      <c r="K60" s="131">
        <f t="shared" si="2"/>
        <v>65442</v>
      </c>
      <c r="L60" s="131">
        <f t="shared" si="2"/>
        <v>67253</v>
      </c>
      <c r="M60" s="131">
        <f>SUM(M57:M59)</f>
        <v>82824</v>
      </c>
      <c r="N60" s="131">
        <f t="shared" si="2"/>
        <v>74513</v>
      </c>
      <c r="O60" s="347">
        <f t="shared" si="0"/>
        <v>848459</v>
      </c>
    </row>
    <row r="61" spans="2:15" ht="18">
      <c r="B61" s="129" t="s">
        <v>109</v>
      </c>
      <c r="C61" s="437">
        <f>SUM(C60:N60)</f>
        <v>848459</v>
      </c>
      <c r="D61" s="438"/>
      <c r="E61" s="438"/>
      <c r="F61" s="438"/>
      <c r="G61" s="438"/>
      <c r="H61" s="438"/>
      <c r="I61" s="438"/>
      <c r="J61" s="438"/>
      <c r="K61" s="438"/>
      <c r="L61" s="438"/>
      <c r="M61" s="438"/>
      <c r="N61" s="439"/>
    </row>
    <row r="62" spans="2:15" ht="17.25" customHeight="1" thickBot="1">
      <c r="B62" s="421" t="s">
        <v>92</v>
      </c>
      <c r="C62" s="422"/>
      <c r="D62" s="422"/>
      <c r="E62" s="422"/>
      <c r="F62" s="422"/>
      <c r="G62" s="422"/>
      <c r="H62" s="422"/>
      <c r="I62" s="422"/>
      <c r="J62" s="282"/>
      <c r="K62" s="282"/>
      <c r="L62" s="282"/>
      <c r="M62" s="282"/>
      <c r="N62" s="283"/>
    </row>
    <row r="64" spans="2:15">
      <c r="C64" s="48"/>
    </row>
    <row r="65" spans="3:3">
      <c r="C65" s="48"/>
    </row>
    <row r="66" spans="3:3">
      <c r="C66" s="347"/>
    </row>
  </sheetData>
  <mergeCells count="20">
    <mergeCell ref="B36:I36"/>
    <mergeCell ref="B44:N44"/>
    <mergeCell ref="B2:C2"/>
    <mergeCell ref="C39:N39"/>
    <mergeCell ref="C40:N40"/>
    <mergeCell ref="B16:C16"/>
    <mergeCell ref="C23:I23"/>
    <mergeCell ref="B28:I28"/>
    <mergeCell ref="C31:I31"/>
    <mergeCell ref="C35:K35"/>
    <mergeCell ref="C27:K27"/>
    <mergeCell ref="C43:K43"/>
    <mergeCell ref="B8:C8"/>
    <mergeCell ref="B62:I62"/>
    <mergeCell ref="C47:N47"/>
    <mergeCell ref="C48:N48"/>
    <mergeCell ref="C51:N51"/>
    <mergeCell ref="C52:N52"/>
    <mergeCell ref="B55:N55"/>
    <mergeCell ref="C61:N61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3"/>
  <sheetViews>
    <sheetView workbookViewId="0">
      <selection activeCell="C31" sqref="C31"/>
    </sheetView>
  </sheetViews>
  <sheetFormatPr baseColWidth="10" defaultRowHeight="15"/>
  <cols>
    <col min="2" max="2" width="34.7109375" customWidth="1"/>
    <col min="3" max="3" width="13.42578125" customWidth="1"/>
    <col min="4" max="4" width="17.140625" customWidth="1"/>
    <col min="5" max="5" width="22" customWidth="1"/>
    <col min="6" max="6" width="21.42578125" customWidth="1"/>
    <col min="7" max="7" width="25.140625" customWidth="1"/>
    <col min="10" max="10" width="18.5703125" customWidth="1"/>
  </cols>
  <sheetData>
    <row r="1" spans="1:11" ht="29.25" customHeight="1" thickBot="1"/>
    <row r="2" spans="1:11" ht="24" customHeight="1">
      <c r="A2" s="459" t="s">
        <v>110</v>
      </c>
      <c r="B2" s="460"/>
      <c r="C2" s="460"/>
      <c r="D2" s="460"/>
      <c r="E2" s="460"/>
      <c r="F2" s="460"/>
      <c r="G2" s="461"/>
    </row>
    <row r="3" spans="1:11" ht="22.5" customHeight="1">
      <c r="A3" s="27" t="s">
        <v>48</v>
      </c>
      <c r="B3" s="28" t="s">
        <v>62</v>
      </c>
      <c r="C3" s="28" t="s">
        <v>63</v>
      </c>
      <c r="D3" s="28" t="s">
        <v>64</v>
      </c>
      <c r="E3" s="29" t="s">
        <v>65</v>
      </c>
      <c r="F3" s="30" t="s">
        <v>66</v>
      </c>
      <c r="G3" s="31" t="s">
        <v>67</v>
      </c>
    </row>
    <row r="4" spans="1:11" ht="17.25" customHeight="1">
      <c r="A4" s="32">
        <v>45658</v>
      </c>
      <c r="B4" s="462" t="s">
        <v>68</v>
      </c>
      <c r="C4" s="33">
        <v>107735</v>
      </c>
      <c r="D4" s="34">
        <v>2421001960</v>
      </c>
      <c r="E4" s="35">
        <v>22472</v>
      </c>
      <c r="F4" s="36">
        <v>555895528</v>
      </c>
      <c r="G4" s="37">
        <v>29.81</v>
      </c>
    </row>
    <row r="5" spans="1:11" ht="17.25" customHeight="1">
      <c r="A5" s="32">
        <v>45689</v>
      </c>
      <c r="B5" s="463"/>
      <c r="C5" s="33">
        <v>77585</v>
      </c>
      <c r="D5" s="34">
        <v>1829861400</v>
      </c>
      <c r="E5" s="35">
        <v>23585</v>
      </c>
      <c r="F5" s="76">
        <v>-591140560</v>
      </c>
      <c r="G5" s="75">
        <v>-0.2442</v>
      </c>
    </row>
    <row r="6" spans="1:11" ht="17.25" customHeight="1">
      <c r="A6" s="32">
        <v>45717</v>
      </c>
      <c r="B6" s="463"/>
      <c r="C6" s="33">
        <v>86982</v>
      </c>
      <c r="D6" s="34">
        <v>2051386104</v>
      </c>
      <c r="E6" s="35">
        <v>23584</v>
      </c>
      <c r="F6" s="36">
        <v>221524704</v>
      </c>
      <c r="G6" s="37">
        <v>0.1211</v>
      </c>
    </row>
    <row r="7" spans="1:11" ht="17.25" customHeight="1">
      <c r="A7" s="32">
        <v>45748</v>
      </c>
      <c r="B7" s="463"/>
      <c r="C7" s="33">
        <v>77174</v>
      </c>
      <c r="D7" s="34">
        <v>1821101080</v>
      </c>
      <c r="E7" s="35">
        <v>23597</v>
      </c>
      <c r="F7" s="76">
        <v>-230285024</v>
      </c>
      <c r="G7" s="75">
        <v>-0.1123</v>
      </c>
    </row>
    <row r="8" spans="1:11" ht="17.25" customHeight="1">
      <c r="A8" s="32">
        <v>45778</v>
      </c>
      <c r="B8" s="463"/>
      <c r="C8" s="63">
        <v>74131</v>
      </c>
      <c r="D8" s="34">
        <v>1749491600</v>
      </c>
      <c r="E8" s="35">
        <v>23600</v>
      </c>
      <c r="F8" s="36">
        <v>-71609480</v>
      </c>
      <c r="G8" s="75">
        <v>3.9300000000000002E-2</v>
      </c>
    </row>
    <row r="9" spans="1:11" ht="17.25" customHeight="1">
      <c r="A9" s="32">
        <v>45809</v>
      </c>
      <c r="B9" s="463"/>
      <c r="C9" s="63">
        <v>82469</v>
      </c>
      <c r="D9" s="34">
        <v>1946268400</v>
      </c>
      <c r="E9" s="35">
        <v>23600</v>
      </c>
      <c r="F9" s="36">
        <v>196776800</v>
      </c>
      <c r="G9" s="37">
        <v>0.1125</v>
      </c>
    </row>
    <row r="10" spans="1:11" ht="17.25" customHeight="1">
      <c r="A10" s="32">
        <v>45839</v>
      </c>
      <c r="B10" s="463"/>
      <c r="C10" s="33">
        <v>90596</v>
      </c>
      <c r="D10" s="34">
        <v>2138065600</v>
      </c>
      <c r="E10" s="35">
        <v>23600</v>
      </c>
      <c r="F10" s="36">
        <v>191797200</v>
      </c>
      <c r="G10" s="302" t="s">
        <v>137</v>
      </c>
    </row>
    <row r="11" spans="1:11" ht="17.25" customHeight="1">
      <c r="A11" s="32">
        <v>45870</v>
      </c>
      <c r="B11" s="463"/>
      <c r="C11" s="63">
        <v>93208</v>
      </c>
      <c r="D11" s="335">
        <v>2199708800</v>
      </c>
      <c r="E11" s="35">
        <f t="shared" ref="E11" si="0">+(D11/C11)</f>
        <v>23600</v>
      </c>
      <c r="F11" s="36">
        <f>D11-D10</f>
        <v>61643200</v>
      </c>
      <c r="G11" s="172">
        <f>1-(D10/D11)</f>
        <v>2.8023345635567742E-2</v>
      </c>
    </row>
    <row r="12" spans="1:11" ht="17.25" customHeight="1">
      <c r="A12" s="32">
        <v>45901</v>
      </c>
      <c r="B12" s="463"/>
      <c r="C12" s="33">
        <v>88352</v>
      </c>
      <c r="D12" s="336">
        <v>2085107200</v>
      </c>
      <c r="E12" s="35">
        <f>+(D12/C12)</f>
        <v>23600</v>
      </c>
      <c r="F12" s="36">
        <f t="shared" ref="F12:F13" si="1">D12-D11</f>
        <v>-114601600</v>
      </c>
      <c r="G12" s="172">
        <f t="shared" ref="G12:G13" si="2">1-(D11/D12)</f>
        <v>-5.496197030061567E-2</v>
      </c>
    </row>
    <row r="13" spans="1:11" ht="17.25" customHeight="1">
      <c r="A13" s="32">
        <v>45931</v>
      </c>
      <c r="B13" s="463"/>
      <c r="C13" s="33">
        <v>96161</v>
      </c>
      <c r="D13" s="336">
        <v>2269399600</v>
      </c>
      <c r="E13" s="35">
        <f>+(D13/C13)</f>
        <v>23600</v>
      </c>
      <c r="F13" s="36">
        <f t="shared" si="1"/>
        <v>184292400</v>
      </c>
      <c r="G13" s="172">
        <f t="shared" si="2"/>
        <v>8.120755815767311E-2</v>
      </c>
    </row>
    <row r="14" spans="1:11" ht="17.25" customHeight="1">
      <c r="A14" s="32">
        <v>45962</v>
      </c>
      <c r="B14" s="463"/>
      <c r="C14" s="33"/>
      <c r="D14" s="34"/>
      <c r="E14" s="35">
        <v>23600</v>
      </c>
      <c r="F14" s="36"/>
      <c r="G14" s="75"/>
      <c r="K14" s="298"/>
    </row>
    <row r="15" spans="1:11" ht="17.25" customHeight="1" thickBot="1">
      <c r="A15" s="273">
        <v>45992</v>
      </c>
      <c r="B15" s="464"/>
      <c r="C15" s="38"/>
      <c r="D15" s="157"/>
      <c r="E15" s="39">
        <v>23600</v>
      </c>
      <c r="F15" s="40"/>
      <c r="G15" s="274"/>
      <c r="K15" s="298"/>
    </row>
    <row r="16" spans="1:11" ht="15.75" thickBot="1">
      <c r="A16" s="269"/>
      <c r="B16" s="270" t="s">
        <v>6</v>
      </c>
      <c r="C16" s="271">
        <f>SUM(C4:C15)</f>
        <v>874393</v>
      </c>
      <c r="D16" s="272">
        <f>SUM(D4:D15)</f>
        <v>20511391744</v>
      </c>
      <c r="E16" s="158"/>
      <c r="F16" s="158"/>
      <c r="G16" s="158"/>
    </row>
    <row r="18" spans="1:10" ht="15.75" thickBot="1"/>
    <row r="19" spans="1:10" ht="18">
      <c r="A19" s="465" t="s">
        <v>111</v>
      </c>
      <c r="B19" s="466"/>
      <c r="C19" s="466"/>
      <c r="D19" s="466"/>
      <c r="E19" s="466"/>
      <c r="F19" s="466"/>
      <c r="G19" s="467"/>
    </row>
    <row r="20" spans="1:10" ht="24">
      <c r="A20" s="275" t="s">
        <v>48</v>
      </c>
      <c r="B20" s="276" t="s">
        <v>62</v>
      </c>
      <c r="C20" s="276" t="s">
        <v>63</v>
      </c>
      <c r="D20" s="276" t="s">
        <v>64</v>
      </c>
      <c r="E20" s="277" t="s">
        <v>69</v>
      </c>
      <c r="F20" s="278" t="s">
        <v>66</v>
      </c>
      <c r="G20" s="279" t="s">
        <v>67</v>
      </c>
    </row>
    <row r="21" spans="1:10" ht="15" customHeight="1">
      <c r="A21" s="32">
        <v>45658</v>
      </c>
      <c r="B21" s="462" t="s">
        <v>70</v>
      </c>
      <c r="C21" s="33">
        <v>34017</v>
      </c>
      <c r="D21" s="34">
        <v>7574995374</v>
      </c>
      <c r="E21" s="35">
        <v>4545</v>
      </c>
      <c r="F21" s="36">
        <v>3879430600</v>
      </c>
      <c r="G21" s="37">
        <v>1.0498000000000001</v>
      </c>
      <c r="J21" s="264"/>
    </row>
    <row r="22" spans="1:10">
      <c r="A22" s="32">
        <v>45689</v>
      </c>
      <c r="B22" s="463"/>
      <c r="C22" s="33">
        <v>19863</v>
      </c>
      <c r="D22" s="34">
        <v>4332103785</v>
      </c>
      <c r="E22" s="35">
        <v>4451</v>
      </c>
      <c r="F22" s="76">
        <v>-3242891589</v>
      </c>
      <c r="G22" s="75">
        <v>-0.42809999999999998</v>
      </c>
    </row>
    <row r="23" spans="1:10">
      <c r="A23" s="32">
        <v>45717</v>
      </c>
      <c r="B23" s="463"/>
      <c r="C23" s="33">
        <v>20766</v>
      </c>
      <c r="D23" s="34">
        <v>4449581100</v>
      </c>
      <c r="E23" s="35">
        <v>4373</v>
      </c>
      <c r="F23" s="36">
        <v>117477315</v>
      </c>
      <c r="G23" s="37">
        <v>2.7099999999999999E-2</v>
      </c>
    </row>
    <row r="24" spans="1:10">
      <c r="A24" s="32">
        <v>45748</v>
      </c>
      <c r="B24" s="463"/>
      <c r="C24" s="33">
        <v>20278</v>
      </c>
      <c r="D24" s="34">
        <v>4472434647</v>
      </c>
      <c r="E24" s="35">
        <v>4501</v>
      </c>
      <c r="F24" s="76">
        <v>22853547</v>
      </c>
      <c r="G24" s="75">
        <v>5.1000000000000004E-3</v>
      </c>
    </row>
    <row r="25" spans="1:10">
      <c r="A25" s="32">
        <v>45778</v>
      </c>
      <c r="B25" s="463"/>
      <c r="C25" s="33">
        <v>21247</v>
      </c>
      <c r="D25" s="34">
        <v>4655700589</v>
      </c>
      <c r="E25" s="35">
        <v>4471.8923958532441</v>
      </c>
      <c r="F25" s="36">
        <v>183265942</v>
      </c>
      <c r="G25" s="37">
        <v>4.0976773606503203E-2</v>
      </c>
    </row>
    <row r="26" spans="1:10">
      <c r="A26" s="32">
        <v>45809</v>
      </c>
      <c r="B26" s="463"/>
      <c r="C26" s="33">
        <v>24010</v>
      </c>
      <c r="D26" s="34">
        <v>5163682135</v>
      </c>
      <c r="E26" s="35">
        <v>4389.0573953029771</v>
      </c>
      <c r="F26" s="36">
        <v>507981546</v>
      </c>
      <c r="G26" s="37">
        <v>0.10910958217549593</v>
      </c>
    </row>
    <row r="27" spans="1:10">
      <c r="A27" s="32">
        <v>45839</v>
      </c>
      <c r="B27" s="463"/>
      <c r="C27" s="33">
        <v>24349</v>
      </c>
      <c r="D27" s="34">
        <v>5119805758</v>
      </c>
      <c r="E27" s="35">
        <v>4291</v>
      </c>
      <c r="F27" s="36">
        <v>-43876377</v>
      </c>
      <c r="G27" s="75">
        <v>-8.5000000000000006E-3</v>
      </c>
    </row>
    <row r="28" spans="1:10">
      <c r="A28" s="32">
        <v>45870</v>
      </c>
      <c r="B28" s="463"/>
      <c r="C28" s="33">
        <v>26762</v>
      </c>
      <c r="D28" s="34">
        <v>5656952560</v>
      </c>
      <c r="E28" s="35">
        <f t="shared" ref="E28:E30" si="3">+(D28/C28)/49</f>
        <v>4313.8783136003076</v>
      </c>
      <c r="F28" s="36">
        <f>D28-D27</f>
        <v>537146802</v>
      </c>
      <c r="G28" s="172">
        <f>1-(D27/D28)</f>
        <v>9.495338635118411E-2</v>
      </c>
    </row>
    <row r="29" spans="1:10">
      <c r="A29" s="32">
        <v>45901</v>
      </c>
      <c r="B29" s="463"/>
      <c r="C29" s="33">
        <v>22528</v>
      </c>
      <c r="D29" s="334">
        <v>4660895736</v>
      </c>
      <c r="E29" s="35">
        <f t="shared" si="3"/>
        <v>4222.3153916396104</v>
      </c>
      <c r="F29" s="36">
        <f>D29-D28</f>
        <v>-996056824</v>
      </c>
      <c r="G29" s="172">
        <f t="shared" ref="G29:G30" si="4">1-(D28/D29)</f>
        <v>-0.21370502161346772</v>
      </c>
    </row>
    <row r="30" spans="1:10">
      <c r="A30" s="32">
        <v>45931</v>
      </c>
      <c r="B30" s="463"/>
      <c r="C30" s="33">
        <v>22587</v>
      </c>
      <c r="D30" s="334">
        <v>4587879007</v>
      </c>
      <c r="E30" s="35">
        <f t="shared" si="3"/>
        <v>4145.3129595044284</v>
      </c>
      <c r="F30" s="36">
        <f t="shared" ref="F30" si="5">D30-D29</f>
        <v>-73016729</v>
      </c>
      <c r="G30" s="172">
        <f t="shared" si="4"/>
        <v>-1.5915138321781042E-2</v>
      </c>
    </row>
    <row r="31" spans="1:10">
      <c r="A31" s="32">
        <v>45962</v>
      </c>
      <c r="B31" s="463"/>
      <c r="C31" s="33"/>
      <c r="D31" s="34"/>
      <c r="E31" s="35"/>
      <c r="F31" s="36"/>
      <c r="G31" s="75"/>
    </row>
    <row r="32" spans="1:10" ht="15.75" thickBot="1">
      <c r="A32" s="273">
        <v>45992</v>
      </c>
      <c r="B32" s="464"/>
      <c r="C32" s="38"/>
      <c r="D32" s="157"/>
      <c r="E32" s="39"/>
      <c r="F32" s="40"/>
      <c r="G32" s="274"/>
    </row>
    <row r="33" spans="1:7" ht="15.75" thickBot="1">
      <c r="A33" s="269"/>
      <c r="B33" s="270" t="s">
        <v>6</v>
      </c>
      <c r="C33" s="271">
        <f>SUM(C21:C32)</f>
        <v>236407</v>
      </c>
      <c r="D33" s="272">
        <f>SUM(D21:D32)</f>
        <v>50674030691</v>
      </c>
      <c r="E33" s="158"/>
      <c r="F33" s="158"/>
      <c r="G33" s="158"/>
    </row>
  </sheetData>
  <mergeCells count="4">
    <mergeCell ref="A2:G2"/>
    <mergeCell ref="B4:B15"/>
    <mergeCell ref="A19:G19"/>
    <mergeCell ref="B21:B3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M62"/>
  <sheetViews>
    <sheetView topLeftCell="H1" workbookViewId="0">
      <selection activeCell="K1" sqref="K1"/>
    </sheetView>
  </sheetViews>
  <sheetFormatPr baseColWidth="10" defaultRowHeight="15"/>
  <cols>
    <col min="2" max="2" width="29.140625" bestFit="1" customWidth="1"/>
    <col min="4" max="4" width="20.85546875" customWidth="1"/>
    <col min="5" max="5" width="16.140625" customWidth="1"/>
    <col min="7" max="7" width="47" customWidth="1"/>
    <col min="9" max="9" width="32" customWidth="1"/>
    <col min="10" max="10" width="17.5703125" customWidth="1"/>
    <col min="11" max="11" width="17.140625" customWidth="1"/>
    <col min="12" max="12" width="16.85546875" bestFit="1" customWidth="1"/>
  </cols>
  <sheetData>
    <row r="1" spans="2:13" ht="15.75" thickBot="1"/>
    <row r="2" spans="2:13">
      <c r="B2" s="159">
        <v>45292</v>
      </c>
      <c r="C2" s="88" t="s">
        <v>71</v>
      </c>
      <c r="D2" s="88" t="s">
        <v>72</v>
      </c>
      <c r="E2" s="88" t="s">
        <v>73</v>
      </c>
      <c r="F2" s="89" t="s">
        <v>74</v>
      </c>
      <c r="I2" s="159">
        <v>45658</v>
      </c>
      <c r="J2" s="88" t="s">
        <v>71</v>
      </c>
      <c r="K2" s="88" t="s">
        <v>72</v>
      </c>
      <c r="L2" s="88" t="s">
        <v>73</v>
      </c>
      <c r="M2" s="89" t="s">
        <v>74</v>
      </c>
    </row>
    <row r="3" spans="2:13">
      <c r="B3" s="90" t="s">
        <v>75</v>
      </c>
      <c r="C3" s="160">
        <v>92083</v>
      </c>
      <c r="D3" s="161">
        <v>1902164300</v>
      </c>
      <c r="E3" s="41">
        <v>5791300</v>
      </c>
      <c r="F3" s="42">
        <v>3.0999999999999999E-3</v>
      </c>
      <c r="I3" s="90" t="s">
        <v>75</v>
      </c>
      <c r="J3" s="160">
        <v>107735</v>
      </c>
      <c r="K3" s="235">
        <v>2421001960</v>
      </c>
      <c r="L3" s="41">
        <v>555895528</v>
      </c>
      <c r="M3" s="42">
        <v>0.29809999999999998</v>
      </c>
    </row>
    <row r="4" spans="2:13">
      <c r="B4" s="90" t="s">
        <v>76</v>
      </c>
      <c r="C4" s="160">
        <v>27742</v>
      </c>
      <c r="D4" s="161">
        <v>5291440013.0699997</v>
      </c>
      <c r="E4" s="41">
        <v>1647147814</v>
      </c>
      <c r="F4" s="43">
        <v>0.45200000000000001</v>
      </c>
      <c r="I4" s="90" t="s">
        <v>76</v>
      </c>
      <c r="J4" s="160">
        <v>34017</v>
      </c>
      <c r="K4" s="235">
        <v>7574995374</v>
      </c>
      <c r="L4" s="41">
        <v>3879430600</v>
      </c>
      <c r="M4" s="43">
        <v>1.0498000000000001</v>
      </c>
    </row>
    <row r="5" spans="2:13" ht="15.75" thickBot="1">
      <c r="B5" s="162" t="s">
        <v>6</v>
      </c>
      <c r="C5" s="163">
        <f>C3+C4</f>
        <v>119825</v>
      </c>
      <c r="D5" s="164">
        <f>D3+D4</f>
        <v>7193604313.0699997</v>
      </c>
      <c r="E5" s="165">
        <f>E3+E4</f>
        <v>1652939114</v>
      </c>
      <c r="F5" s="44"/>
      <c r="I5" s="162" t="s">
        <v>6</v>
      </c>
      <c r="J5" s="163">
        <f>J3+J4</f>
        <v>141752</v>
      </c>
      <c r="K5" s="164">
        <f>K3+K4</f>
        <v>9995997334</v>
      </c>
      <c r="L5" s="165">
        <f>L3+L4</f>
        <v>4435326128</v>
      </c>
      <c r="M5" s="44"/>
    </row>
    <row r="6" spans="2:13" ht="15.75" thickBot="1"/>
    <row r="7" spans="2:13">
      <c r="B7" s="159">
        <v>45323</v>
      </c>
      <c r="C7" s="88" t="s">
        <v>71</v>
      </c>
      <c r="D7" s="88" t="s">
        <v>72</v>
      </c>
      <c r="E7" s="88" t="s">
        <v>73</v>
      </c>
      <c r="F7" s="89" t="s">
        <v>74</v>
      </c>
      <c r="I7" s="159">
        <v>45689</v>
      </c>
      <c r="J7" s="88" t="s">
        <v>71</v>
      </c>
      <c r="K7" s="88" t="s">
        <v>72</v>
      </c>
      <c r="L7" s="88" t="s">
        <v>73</v>
      </c>
      <c r="M7" s="89" t="s">
        <v>74</v>
      </c>
    </row>
    <row r="8" spans="2:13">
      <c r="B8" s="90" t="s">
        <v>75</v>
      </c>
      <c r="C8" s="160">
        <v>82698</v>
      </c>
      <c r="D8" s="161">
        <v>1852414300</v>
      </c>
      <c r="E8" s="166">
        <v>-49750000</v>
      </c>
      <c r="F8" s="167">
        <v>-2.6200000000000001E-2</v>
      </c>
      <c r="I8" s="90" t="s">
        <v>75</v>
      </c>
      <c r="J8" s="160">
        <v>77585</v>
      </c>
      <c r="K8" s="235">
        <v>1829861400</v>
      </c>
      <c r="L8" s="328">
        <v>-591140560</v>
      </c>
      <c r="M8" s="167">
        <v>-0.2442</v>
      </c>
    </row>
    <row r="9" spans="2:13">
      <c r="B9" s="90" t="s">
        <v>76</v>
      </c>
      <c r="C9" s="160">
        <v>18352</v>
      </c>
      <c r="D9" s="161">
        <v>3676193498</v>
      </c>
      <c r="E9" s="166">
        <v>-1615246515</v>
      </c>
      <c r="F9" s="168">
        <v>-0.30530000000000002</v>
      </c>
      <c r="I9" s="90" t="s">
        <v>76</v>
      </c>
      <c r="J9" s="160">
        <v>19863</v>
      </c>
      <c r="K9" s="235">
        <v>4332103785</v>
      </c>
      <c r="L9" s="328">
        <v>-3242891589</v>
      </c>
      <c r="M9" s="168">
        <v>-0.42809999999999998</v>
      </c>
    </row>
    <row r="10" spans="2:13" ht="15.75" thickBot="1">
      <c r="B10" s="162" t="s">
        <v>6</v>
      </c>
      <c r="C10" s="163">
        <f>C8+C9</f>
        <v>101050</v>
      </c>
      <c r="D10" s="164">
        <f>D8+D9</f>
        <v>5528607798</v>
      </c>
      <c r="E10" s="169">
        <f>E8+E9</f>
        <v>-1664996515</v>
      </c>
      <c r="F10" s="44"/>
      <c r="I10" s="162" t="s">
        <v>6</v>
      </c>
      <c r="J10" s="163">
        <f>J8+J9</f>
        <v>97448</v>
      </c>
      <c r="K10" s="164">
        <f>K8+K9</f>
        <v>6161965185</v>
      </c>
      <c r="L10" s="329">
        <f>L8+L9</f>
        <v>-3834032149</v>
      </c>
      <c r="M10" s="238"/>
    </row>
    <row r="11" spans="2:13" ht="15.75" thickBot="1"/>
    <row r="12" spans="2:13">
      <c r="B12" s="159">
        <v>45352</v>
      </c>
      <c r="C12" s="88" t="s">
        <v>71</v>
      </c>
      <c r="D12" s="88" t="s">
        <v>72</v>
      </c>
      <c r="E12" s="88" t="s">
        <v>73</v>
      </c>
      <c r="F12" s="89" t="s">
        <v>74</v>
      </c>
      <c r="I12" s="159">
        <v>45717</v>
      </c>
      <c r="J12" s="88" t="s">
        <v>71</v>
      </c>
      <c r="K12" s="88" t="s">
        <v>72</v>
      </c>
      <c r="L12" s="88" t="s">
        <v>73</v>
      </c>
      <c r="M12" s="89" t="s">
        <v>74</v>
      </c>
    </row>
    <row r="13" spans="2:13">
      <c r="B13" s="90" t="s">
        <v>75</v>
      </c>
      <c r="C13" s="160">
        <v>89478</v>
      </c>
      <c r="D13" s="161">
        <v>2004299600</v>
      </c>
      <c r="E13" s="41">
        <v>151885300</v>
      </c>
      <c r="F13" s="42">
        <v>8.2000000000000003E-2</v>
      </c>
      <c r="I13" s="90" t="s">
        <v>75</v>
      </c>
      <c r="J13" s="160">
        <v>86982</v>
      </c>
      <c r="K13" s="235">
        <v>2051386104</v>
      </c>
      <c r="L13" s="187">
        <v>221524704</v>
      </c>
      <c r="M13" s="188">
        <v>0.1211</v>
      </c>
    </row>
    <row r="14" spans="2:13">
      <c r="B14" s="90" t="s">
        <v>76</v>
      </c>
      <c r="C14" s="160">
        <v>19287</v>
      </c>
      <c r="D14" s="161">
        <v>3848283046</v>
      </c>
      <c r="E14" s="41">
        <v>172089548</v>
      </c>
      <c r="F14" s="43">
        <v>4.6800000000000001E-2</v>
      </c>
      <c r="I14" s="90" t="s">
        <v>76</v>
      </c>
      <c r="J14" s="160">
        <v>20766</v>
      </c>
      <c r="K14" s="235">
        <v>4449581100</v>
      </c>
      <c r="L14" s="187">
        <v>117477315</v>
      </c>
      <c r="M14" s="246">
        <v>2.7099999999999999E-2</v>
      </c>
    </row>
    <row r="15" spans="2:13" ht="15.75" thickBot="1">
      <c r="B15" s="162" t="s">
        <v>6</v>
      </c>
      <c r="C15" s="163">
        <f>C13+C14</f>
        <v>108765</v>
      </c>
      <c r="D15" s="164">
        <f>D13+D14</f>
        <v>5852582646</v>
      </c>
      <c r="E15" s="165">
        <f>E13+E14</f>
        <v>323974848</v>
      </c>
      <c r="F15" s="44"/>
      <c r="I15" s="162" t="s">
        <v>6</v>
      </c>
      <c r="J15" s="163">
        <f>J13+J14</f>
        <v>107748</v>
      </c>
      <c r="K15" s="164">
        <f>K13+K14</f>
        <v>6500967204</v>
      </c>
      <c r="L15" s="247">
        <f>L13+L14</f>
        <v>339002019</v>
      </c>
      <c r="M15" s="238"/>
    </row>
    <row r="16" spans="2:13" ht="15.75" thickBot="1">
      <c r="K16" s="235"/>
    </row>
    <row r="17" spans="2:13">
      <c r="B17" s="159">
        <v>45383</v>
      </c>
      <c r="C17" s="88" t="s">
        <v>71</v>
      </c>
      <c r="D17" s="88" t="s">
        <v>72</v>
      </c>
      <c r="E17" s="88" t="s">
        <v>73</v>
      </c>
      <c r="F17" s="89" t="s">
        <v>74</v>
      </c>
      <c r="I17" s="159">
        <v>45748</v>
      </c>
      <c r="J17" s="88" t="s">
        <v>71</v>
      </c>
      <c r="K17" s="88" t="s">
        <v>72</v>
      </c>
      <c r="L17" s="88" t="s">
        <v>73</v>
      </c>
      <c r="M17" s="89" t="s">
        <v>74</v>
      </c>
    </row>
    <row r="18" spans="2:13">
      <c r="B18" s="90" t="s">
        <v>75</v>
      </c>
      <c r="C18" s="160">
        <v>91810</v>
      </c>
      <c r="D18" s="161">
        <v>2056544000</v>
      </c>
      <c r="E18" s="41">
        <v>52244400</v>
      </c>
      <c r="F18" s="42">
        <v>2.6100000000000002E-2</v>
      </c>
      <c r="I18" s="90" t="s">
        <v>75</v>
      </c>
      <c r="J18" s="160">
        <v>77174</v>
      </c>
      <c r="K18" s="235">
        <v>1821101080</v>
      </c>
      <c r="L18" s="330">
        <v>-230285024</v>
      </c>
      <c r="M18" s="188">
        <v>-0.1123</v>
      </c>
    </row>
    <row r="19" spans="2:13">
      <c r="B19" s="90" t="s">
        <v>76</v>
      </c>
      <c r="C19" s="160">
        <v>17131</v>
      </c>
      <c r="D19" s="161">
        <v>3369520991</v>
      </c>
      <c r="E19" s="166">
        <v>-478762055</v>
      </c>
      <c r="F19" s="168">
        <v>-0.1244</v>
      </c>
      <c r="I19" s="90" t="s">
        <v>76</v>
      </c>
      <c r="J19" s="160">
        <v>20278</v>
      </c>
      <c r="K19" s="235">
        <v>4472434647</v>
      </c>
      <c r="L19" s="330">
        <v>22853547</v>
      </c>
      <c r="M19" s="246">
        <v>5.1000000000000004E-3</v>
      </c>
    </row>
    <row r="20" spans="2:13" ht="15.75" thickBot="1">
      <c r="B20" s="162" t="s">
        <v>6</v>
      </c>
      <c r="C20" s="163">
        <f>C18+C19</f>
        <v>108941</v>
      </c>
      <c r="D20" s="164">
        <f>D18+D19</f>
        <v>5426064991</v>
      </c>
      <c r="E20" s="169">
        <f>E18+E19</f>
        <v>-426517655</v>
      </c>
      <c r="F20" s="44"/>
      <c r="I20" s="162" t="s">
        <v>6</v>
      </c>
      <c r="J20" s="163">
        <f>J18+J19</f>
        <v>97452</v>
      </c>
      <c r="K20" s="164">
        <f>K18+K19</f>
        <v>6293535727</v>
      </c>
      <c r="L20" s="331">
        <f>L18+L19</f>
        <v>-207431477</v>
      </c>
      <c r="M20" s="238"/>
    </row>
    <row r="21" spans="2:13" ht="15.75" thickBot="1"/>
    <row r="22" spans="2:13">
      <c r="B22" s="159">
        <v>45413</v>
      </c>
      <c r="C22" s="88" t="s">
        <v>71</v>
      </c>
      <c r="D22" s="88" t="s">
        <v>72</v>
      </c>
      <c r="E22" s="88" t="s">
        <v>73</v>
      </c>
      <c r="F22" s="89" t="s">
        <v>74</v>
      </c>
      <c r="I22" s="159">
        <v>45778</v>
      </c>
      <c r="J22" s="88" t="s">
        <v>71</v>
      </c>
      <c r="K22" s="88" t="s">
        <v>72</v>
      </c>
      <c r="L22" s="88" t="s">
        <v>73</v>
      </c>
      <c r="M22" s="89" t="s">
        <v>74</v>
      </c>
    </row>
    <row r="23" spans="2:13">
      <c r="B23" s="90" t="s">
        <v>75</v>
      </c>
      <c r="C23" s="160">
        <v>101432</v>
      </c>
      <c r="D23" s="161">
        <v>2272076800</v>
      </c>
      <c r="E23" s="41">
        <v>215532800</v>
      </c>
      <c r="F23" s="42">
        <v>0.1048</v>
      </c>
      <c r="I23" s="90" t="s">
        <v>75</v>
      </c>
      <c r="J23" s="160">
        <v>74131</v>
      </c>
      <c r="K23" s="34">
        <v>1749491600</v>
      </c>
      <c r="L23" s="332">
        <v>-71609480</v>
      </c>
      <c r="M23" s="300">
        <v>-3.9300000000000002E-2</v>
      </c>
    </row>
    <row r="24" spans="2:13">
      <c r="B24" s="90" t="s">
        <v>76</v>
      </c>
      <c r="C24" s="160">
        <v>18951</v>
      </c>
      <c r="D24" s="161">
        <v>3774153954</v>
      </c>
      <c r="E24" s="41">
        <v>404632963</v>
      </c>
      <c r="F24" s="43">
        <v>0.1201</v>
      </c>
      <c r="I24" s="90" t="s">
        <v>76</v>
      </c>
      <c r="J24" s="160">
        <v>21247</v>
      </c>
      <c r="K24" s="34">
        <v>4655700589</v>
      </c>
      <c r="L24" s="333">
        <v>183265942</v>
      </c>
      <c r="M24" s="299">
        <v>4.1000000000000002E-2</v>
      </c>
    </row>
    <row r="25" spans="2:13" ht="15.75" thickBot="1">
      <c r="B25" s="162" t="s">
        <v>6</v>
      </c>
      <c r="C25" s="163">
        <f>C23+C24</f>
        <v>120383</v>
      </c>
      <c r="D25" s="164">
        <f>D23+D24</f>
        <v>6046230754</v>
      </c>
      <c r="E25" s="165">
        <f>E23+E24</f>
        <v>620165763</v>
      </c>
      <c r="F25" s="44"/>
      <c r="I25" s="162" t="s">
        <v>6</v>
      </c>
      <c r="J25" s="163">
        <f>J23+J24</f>
        <v>95378</v>
      </c>
      <c r="K25" s="164">
        <f>K23+K24</f>
        <v>6405192189</v>
      </c>
      <c r="L25" s="331">
        <f>L23+L24</f>
        <v>111656462</v>
      </c>
      <c r="M25" s="238"/>
    </row>
    <row r="26" spans="2:13" ht="15.75" thickBot="1"/>
    <row r="27" spans="2:13">
      <c r="B27" s="159">
        <v>45444</v>
      </c>
      <c r="C27" s="88" t="s">
        <v>71</v>
      </c>
      <c r="D27" s="88" t="s">
        <v>72</v>
      </c>
      <c r="E27" s="88" t="s">
        <v>73</v>
      </c>
      <c r="F27" s="89" t="s">
        <v>74</v>
      </c>
      <c r="I27" s="159">
        <v>45809</v>
      </c>
      <c r="J27" s="88" t="s">
        <v>71</v>
      </c>
      <c r="K27" s="88" t="s">
        <v>72</v>
      </c>
      <c r="L27" s="88" t="s">
        <v>73</v>
      </c>
      <c r="M27" s="89" t="s">
        <v>74</v>
      </c>
    </row>
    <row r="28" spans="2:13">
      <c r="B28" s="90" t="s">
        <v>75</v>
      </c>
      <c r="C28" s="160">
        <v>102495</v>
      </c>
      <c r="D28" s="161">
        <v>2295102656</v>
      </c>
      <c r="E28" s="41">
        <v>23025856</v>
      </c>
      <c r="F28" s="42">
        <v>1.01E-2</v>
      </c>
      <c r="I28" s="90" t="s">
        <v>75</v>
      </c>
      <c r="J28" s="160">
        <v>82469</v>
      </c>
      <c r="K28" s="34">
        <v>1946268400</v>
      </c>
      <c r="L28" s="301">
        <v>196776800</v>
      </c>
      <c r="M28" s="299">
        <v>0.1125</v>
      </c>
    </row>
    <row r="29" spans="2:13">
      <c r="B29" s="90" t="s">
        <v>76</v>
      </c>
      <c r="C29" s="160">
        <v>21203</v>
      </c>
      <c r="D29" s="161">
        <v>4331742569</v>
      </c>
      <c r="E29" s="41">
        <v>557588615</v>
      </c>
      <c r="F29" s="43">
        <v>0.1477</v>
      </c>
      <c r="I29" s="90" t="s">
        <v>76</v>
      </c>
      <c r="J29" s="160">
        <v>24010</v>
      </c>
      <c r="K29" s="34">
        <v>5163682135</v>
      </c>
      <c r="L29" s="301">
        <v>507981546</v>
      </c>
      <c r="M29" s="299">
        <v>0.1091</v>
      </c>
    </row>
    <row r="30" spans="2:13" ht="15.75" thickBot="1">
      <c r="B30" s="162" t="s">
        <v>6</v>
      </c>
      <c r="C30" s="163">
        <f>C28+C29</f>
        <v>123698</v>
      </c>
      <c r="D30" s="164">
        <f>D28+D29</f>
        <v>6626845225</v>
      </c>
      <c r="E30" s="165">
        <f>E28+E29</f>
        <v>580614471</v>
      </c>
      <c r="F30" s="44"/>
      <c r="I30" s="162" t="s">
        <v>6</v>
      </c>
      <c r="J30" s="163">
        <f>J28+J29</f>
        <v>106479</v>
      </c>
      <c r="K30" s="164">
        <f>K28+K29</f>
        <v>7109950535</v>
      </c>
      <c r="L30" s="268">
        <f>L28+L29</f>
        <v>704758346</v>
      </c>
      <c r="M30" s="238"/>
    </row>
    <row r="31" spans="2:13" ht="15.75" thickBot="1"/>
    <row r="32" spans="2:13">
      <c r="B32" s="159">
        <v>45474</v>
      </c>
      <c r="C32" s="88" t="s">
        <v>71</v>
      </c>
      <c r="D32" s="88" t="s">
        <v>72</v>
      </c>
      <c r="E32" s="88" t="s">
        <v>73</v>
      </c>
      <c r="F32" s="89" t="s">
        <v>74</v>
      </c>
      <c r="I32" s="159">
        <v>45839</v>
      </c>
      <c r="J32" s="88" t="s">
        <v>71</v>
      </c>
      <c r="K32" s="88" t="s">
        <v>72</v>
      </c>
      <c r="L32" s="88" t="s">
        <v>73</v>
      </c>
      <c r="M32" s="89" t="s">
        <v>74</v>
      </c>
    </row>
    <row r="33" spans="2:13">
      <c r="B33" s="90" t="s">
        <v>75</v>
      </c>
      <c r="C33" s="160">
        <v>104200</v>
      </c>
      <c r="D33" s="161">
        <v>2331298368</v>
      </c>
      <c r="E33" s="41">
        <v>36195712</v>
      </c>
      <c r="F33" s="42">
        <v>1.5800000000000002E-2</v>
      </c>
      <c r="I33" s="90" t="s">
        <v>75</v>
      </c>
      <c r="J33" s="160">
        <v>90596</v>
      </c>
      <c r="K33" s="34">
        <v>2138065600</v>
      </c>
      <c r="L33" s="301">
        <v>191797200</v>
      </c>
      <c r="M33" s="303" t="s">
        <v>137</v>
      </c>
    </row>
    <row r="34" spans="2:13">
      <c r="B34" s="90" t="s">
        <v>76</v>
      </c>
      <c r="C34" s="160">
        <v>21906</v>
      </c>
      <c r="D34" s="161">
        <v>4528233319</v>
      </c>
      <c r="E34" s="41">
        <v>196490750</v>
      </c>
      <c r="F34" s="43">
        <v>4.5400000000000003E-2</v>
      </c>
      <c r="I34" s="90" t="s">
        <v>76</v>
      </c>
      <c r="J34" s="160">
        <v>24349</v>
      </c>
      <c r="K34" s="34">
        <v>5119805758</v>
      </c>
      <c r="L34" s="301">
        <v>-43876377</v>
      </c>
      <c r="M34" s="304">
        <v>-8.5000000000000006E-3</v>
      </c>
    </row>
    <row r="35" spans="2:13" ht="15.75" thickBot="1">
      <c r="B35" s="162" t="s">
        <v>6</v>
      </c>
      <c r="C35" s="163">
        <f>C33+C34</f>
        <v>126106</v>
      </c>
      <c r="D35" s="164">
        <f>D33+D34</f>
        <v>6859531687</v>
      </c>
      <c r="E35" s="165">
        <f>E33+E34</f>
        <v>232686462</v>
      </c>
      <c r="F35" s="44"/>
      <c r="I35" s="162" t="s">
        <v>6</v>
      </c>
      <c r="J35" s="163">
        <f>J33+J34</f>
        <v>114945</v>
      </c>
      <c r="K35" s="164">
        <f>K33+K34</f>
        <v>7257871358</v>
      </c>
      <c r="L35" s="268">
        <f>L33+L34</f>
        <v>147920823</v>
      </c>
      <c r="M35" s="238"/>
    </row>
    <row r="36" spans="2:13" ht="15.75" thickBot="1">
      <c r="K36" s="34"/>
      <c r="L36" s="298"/>
    </row>
    <row r="37" spans="2:13">
      <c r="B37" s="159">
        <v>45505</v>
      </c>
      <c r="C37" s="88" t="s">
        <v>71</v>
      </c>
      <c r="D37" s="88" t="s">
        <v>72</v>
      </c>
      <c r="E37" s="88" t="s">
        <v>73</v>
      </c>
      <c r="F37" s="89" t="s">
        <v>74</v>
      </c>
      <c r="I37" s="159">
        <v>45870</v>
      </c>
      <c r="J37" s="88" t="s">
        <v>71</v>
      </c>
      <c r="K37" s="88" t="s">
        <v>72</v>
      </c>
      <c r="L37" s="88" t="s">
        <v>73</v>
      </c>
      <c r="M37" s="89" t="s">
        <v>74</v>
      </c>
    </row>
    <row r="38" spans="2:13">
      <c r="B38" s="90" t="s">
        <v>75</v>
      </c>
      <c r="C38" s="160">
        <v>110873</v>
      </c>
      <c r="D38" s="161">
        <v>2480861376</v>
      </c>
      <c r="E38" s="41">
        <v>149563008</v>
      </c>
      <c r="F38" s="42">
        <v>6.4199999999999993E-2</v>
      </c>
      <c r="I38" s="90" t="s">
        <v>75</v>
      </c>
      <c r="J38" s="160">
        <v>90596</v>
      </c>
      <c r="K38" s="34">
        <v>2138065600</v>
      </c>
      <c r="L38" s="301">
        <v>191797200</v>
      </c>
      <c r="M38" s="303" t="s">
        <v>137</v>
      </c>
    </row>
    <row r="39" spans="2:13">
      <c r="B39" s="90" t="s">
        <v>76</v>
      </c>
      <c r="C39" s="160">
        <v>24256</v>
      </c>
      <c r="D39" s="161">
        <v>4982385528</v>
      </c>
      <c r="E39" s="41">
        <v>454152209</v>
      </c>
      <c r="F39" s="43">
        <v>0.1003</v>
      </c>
      <c r="I39" s="90" t="s">
        <v>76</v>
      </c>
      <c r="J39" s="160">
        <v>24349</v>
      </c>
      <c r="K39" s="34">
        <v>5119805758</v>
      </c>
      <c r="L39" s="301">
        <v>-43876377</v>
      </c>
      <c r="M39" s="304">
        <v>-8.5000000000000006E-3</v>
      </c>
    </row>
    <row r="40" spans="2:13" ht="15.75" thickBot="1">
      <c r="B40" s="162" t="s">
        <v>6</v>
      </c>
      <c r="C40" s="163">
        <f>C38+C39</f>
        <v>135129</v>
      </c>
      <c r="D40" s="164">
        <f>D38+D39</f>
        <v>7463246904</v>
      </c>
      <c r="E40" s="165">
        <f>E38+E39</f>
        <v>603715217</v>
      </c>
      <c r="F40" s="44"/>
      <c r="I40" s="162" t="s">
        <v>6</v>
      </c>
      <c r="J40" s="163">
        <f>J38+J39</f>
        <v>114945</v>
      </c>
      <c r="K40" s="164">
        <f>K38+K39</f>
        <v>7257871358</v>
      </c>
      <c r="L40" s="268">
        <f>L38+L39</f>
        <v>147920823</v>
      </c>
      <c r="M40" s="238"/>
    </row>
    <row r="41" spans="2:13" ht="15.75" thickBot="1"/>
    <row r="42" spans="2:13">
      <c r="B42" s="159">
        <v>45536</v>
      </c>
      <c r="C42" s="88" t="s">
        <v>71</v>
      </c>
      <c r="D42" s="88" t="s">
        <v>72</v>
      </c>
      <c r="E42" s="88" t="s">
        <v>73</v>
      </c>
      <c r="F42" s="89" t="s">
        <v>74</v>
      </c>
      <c r="I42" s="159">
        <v>45901</v>
      </c>
      <c r="J42" s="88" t="s">
        <v>71</v>
      </c>
      <c r="K42" s="88" t="s">
        <v>72</v>
      </c>
      <c r="L42" s="88" t="s">
        <v>73</v>
      </c>
      <c r="M42" s="89" t="s">
        <v>74</v>
      </c>
    </row>
    <row r="43" spans="2:13">
      <c r="B43" s="90" t="s">
        <v>75</v>
      </c>
      <c r="C43" s="160">
        <v>98294</v>
      </c>
      <c r="D43" s="161">
        <v>2199291136</v>
      </c>
      <c r="E43" s="166">
        <v>-281570240</v>
      </c>
      <c r="F43" s="167">
        <v>-0.11349696630530315</v>
      </c>
      <c r="I43" s="90" t="s">
        <v>75</v>
      </c>
      <c r="J43" s="33">
        <v>88352</v>
      </c>
      <c r="K43" s="336">
        <v>2085107200</v>
      </c>
      <c r="L43" s="36">
        <v>-114601600</v>
      </c>
      <c r="M43" s="337">
        <v>-5.5E-2</v>
      </c>
    </row>
    <row r="44" spans="2:13">
      <c r="B44" s="90" t="s">
        <v>76</v>
      </c>
      <c r="C44" s="160">
        <v>20462</v>
      </c>
      <c r="D44" s="161">
        <v>4286474336</v>
      </c>
      <c r="E44" s="166">
        <v>-695911192</v>
      </c>
      <c r="F44" s="168">
        <v>-0.13967429619589244</v>
      </c>
      <c r="I44" s="90" t="s">
        <v>76</v>
      </c>
      <c r="J44" s="33">
        <v>22528</v>
      </c>
      <c r="K44" s="334">
        <v>4660895736</v>
      </c>
      <c r="L44" s="338">
        <v>-996056824</v>
      </c>
      <c r="M44" s="304">
        <v>-0.2137</v>
      </c>
    </row>
    <row r="45" spans="2:13" ht="15.75" thickBot="1">
      <c r="B45" s="162" t="s">
        <v>6</v>
      </c>
      <c r="C45" s="163">
        <f>C43+C44</f>
        <v>118756</v>
      </c>
      <c r="D45" s="164">
        <f>D43+D44</f>
        <v>6485765472</v>
      </c>
      <c r="E45" s="169">
        <f>E43+E44</f>
        <v>-977481432</v>
      </c>
      <c r="F45" s="44"/>
      <c r="I45" s="162" t="s">
        <v>6</v>
      </c>
      <c r="J45" s="163">
        <f>J43+J44</f>
        <v>110880</v>
      </c>
      <c r="K45" s="164">
        <f>K43+K44</f>
        <v>6746002936</v>
      </c>
      <c r="L45" s="268">
        <f>L43+L44</f>
        <v>-1110658424</v>
      </c>
      <c r="M45" s="238"/>
    </row>
    <row r="46" spans="2:13" ht="15.75" thickBot="1"/>
    <row r="47" spans="2:13">
      <c r="B47" s="159">
        <v>45566</v>
      </c>
      <c r="C47" s="88" t="s">
        <v>71</v>
      </c>
      <c r="D47" s="88" t="s">
        <v>72</v>
      </c>
      <c r="E47" s="88" t="s">
        <v>73</v>
      </c>
      <c r="F47" s="89" t="s">
        <v>74</v>
      </c>
      <c r="I47" s="159">
        <v>45931</v>
      </c>
      <c r="J47" s="88" t="s">
        <v>71</v>
      </c>
      <c r="K47" s="88" t="s">
        <v>72</v>
      </c>
      <c r="L47" s="88" t="s">
        <v>73</v>
      </c>
      <c r="M47" s="89" t="s">
        <v>74</v>
      </c>
    </row>
    <row r="48" spans="2:13">
      <c r="B48" s="90" t="s">
        <v>75</v>
      </c>
      <c r="C48" s="160">
        <v>99780</v>
      </c>
      <c r="D48" s="161">
        <v>2232415360</v>
      </c>
      <c r="E48" s="187">
        <v>33124224</v>
      </c>
      <c r="F48" s="188">
        <v>1.5061318375631405E-2</v>
      </c>
      <c r="I48" s="90" t="s">
        <v>75</v>
      </c>
      <c r="J48" s="33">
        <v>96161</v>
      </c>
      <c r="K48" s="336">
        <v>2269399600</v>
      </c>
      <c r="L48" s="301">
        <v>184292400</v>
      </c>
      <c r="M48" s="303">
        <v>8.1199999999999994E-2</v>
      </c>
    </row>
    <row r="49" spans="2:13">
      <c r="B49" s="90" t="s">
        <v>76</v>
      </c>
      <c r="C49" s="160">
        <v>19020</v>
      </c>
      <c r="D49" s="161">
        <v>4060762015</v>
      </c>
      <c r="E49" s="166">
        <v>-225712321</v>
      </c>
      <c r="F49" s="168">
        <v>-5.2656869797248707E-2</v>
      </c>
      <c r="I49" s="90" t="s">
        <v>76</v>
      </c>
      <c r="J49" s="33">
        <v>22587</v>
      </c>
      <c r="K49" s="334">
        <v>4587879001</v>
      </c>
      <c r="L49" s="301">
        <v>-73016729</v>
      </c>
      <c r="M49" s="304">
        <v>-1.5900000000000001E-2</v>
      </c>
    </row>
    <row r="50" spans="2:13" ht="15.75" thickBot="1">
      <c r="B50" s="162" t="s">
        <v>6</v>
      </c>
      <c r="C50" s="163">
        <v>118800</v>
      </c>
      <c r="D50" s="164">
        <v>6293177375</v>
      </c>
      <c r="E50" s="169">
        <v>-192588097</v>
      </c>
      <c r="F50" s="44"/>
      <c r="I50" s="162" t="s">
        <v>6</v>
      </c>
      <c r="J50" s="163">
        <f>J48+J49</f>
        <v>118748</v>
      </c>
      <c r="K50" s="164">
        <f>K48+K49</f>
        <v>6857278601</v>
      </c>
      <c r="L50" s="268">
        <f>L48+L49</f>
        <v>111275671</v>
      </c>
      <c r="M50" s="238"/>
    </row>
    <row r="51" spans="2:13" ht="15.75" thickBot="1"/>
    <row r="52" spans="2:13" ht="15.75" thickBot="1">
      <c r="I52" s="159">
        <v>45962</v>
      </c>
      <c r="J52" s="88" t="s">
        <v>71</v>
      </c>
      <c r="K52" s="88" t="s">
        <v>72</v>
      </c>
      <c r="L52" s="88" t="s">
        <v>73</v>
      </c>
      <c r="M52" s="89" t="s">
        <v>74</v>
      </c>
    </row>
    <row r="53" spans="2:13">
      <c r="B53" s="159">
        <v>45597</v>
      </c>
      <c r="C53" s="88" t="s">
        <v>71</v>
      </c>
      <c r="D53" s="88" t="s">
        <v>72</v>
      </c>
      <c r="E53" s="88" t="s">
        <v>73</v>
      </c>
      <c r="F53" s="89" t="s">
        <v>74</v>
      </c>
      <c r="I53" s="90" t="s">
        <v>75</v>
      </c>
      <c r="J53" s="33"/>
      <c r="K53" s="336"/>
      <c r="L53" s="301"/>
      <c r="M53" s="303">
        <v>8.1199999999999994E-2</v>
      </c>
    </row>
    <row r="54" spans="2:13">
      <c r="B54" s="90" t="s">
        <v>75</v>
      </c>
      <c r="C54" s="160">
        <v>97443</v>
      </c>
      <c r="D54" s="161">
        <v>2180390464</v>
      </c>
      <c r="E54" s="187">
        <v>-52024896</v>
      </c>
      <c r="F54" s="188">
        <v>-2.3300000000000001E-2</v>
      </c>
      <c r="I54" s="90" t="s">
        <v>76</v>
      </c>
      <c r="J54" s="33"/>
      <c r="K54" s="334"/>
      <c r="L54" s="301"/>
      <c r="M54" s="304">
        <v>-1.5900000000000001E-2</v>
      </c>
    </row>
    <row r="55" spans="2:13" ht="15.75" thickBot="1">
      <c r="B55" s="90" t="s">
        <v>76</v>
      </c>
      <c r="C55" s="160">
        <v>17280</v>
      </c>
      <c r="D55" s="161">
        <v>3871009587</v>
      </c>
      <c r="E55" s="166">
        <v>-189752428</v>
      </c>
      <c r="F55" s="168">
        <v>-4.6699999999999998E-2</v>
      </c>
      <c r="I55" s="162" t="s">
        <v>6</v>
      </c>
      <c r="J55" s="163">
        <f>J53+J54</f>
        <v>0</v>
      </c>
      <c r="K55" s="164">
        <f>K53+K54</f>
        <v>0</v>
      </c>
      <c r="L55" s="268">
        <f>L53+L54</f>
        <v>0</v>
      </c>
      <c r="M55" s="238"/>
    </row>
    <row r="56" spans="2:13" ht="15.75" thickBot="1">
      <c r="B56" s="162" t="s">
        <v>6</v>
      </c>
      <c r="C56" s="163">
        <v>114726</v>
      </c>
      <c r="D56" s="164">
        <v>6051400051</v>
      </c>
      <c r="E56" s="169">
        <v>-241777324</v>
      </c>
      <c r="F56" s="44"/>
      <c r="I56" s="45"/>
      <c r="J56" s="219"/>
      <c r="K56" s="220"/>
      <c r="L56" s="221"/>
      <c r="M56" s="222"/>
    </row>
    <row r="57" spans="2:13">
      <c r="I57" s="159">
        <v>45992</v>
      </c>
      <c r="J57" s="88" t="s">
        <v>71</v>
      </c>
      <c r="K57" s="88" t="s">
        <v>72</v>
      </c>
      <c r="L57" s="88" t="s">
        <v>73</v>
      </c>
      <c r="M57" s="89" t="s">
        <v>74</v>
      </c>
    </row>
    <row r="58" spans="2:13" ht="15.75" thickBot="1">
      <c r="I58" s="90" t="s">
        <v>75</v>
      </c>
      <c r="J58" s="33"/>
      <c r="K58" s="336"/>
      <c r="L58" s="301"/>
      <c r="M58" s="303">
        <v>8.1199999999999994E-2</v>
      </c>
    </row>
    <row r="59" spans="2:13">
      <c r="B59" s="159">
        <v>45627</v>
      </c>
      <c r="C59" s="88" t="s">
        <v>71</v>
      </c>
      <c r="D59" s="88" t="s">
        <v>72</v>
      </c>
      <c r="E59" s="88" t="s">
        <v>73</v>
      </c>
      <c r="F59" s="89" t="s">
        <v>74</v>
      </c>
      <c r="I59" s="90" t="s">
        <v>76</v>
      </c>
      <c r="J59" s="33"/>
      <c r="K59" s="334"/>
      <c r="L59" s="301"/>
      <c r="M59" s="304">
        <v>-1.5900000000000001E-2</v>
      </c>
    </row>
    <row r="60" spans="2:13" ht="15.75" thickBot="1">
      <c r="B60" s="90" t="s">
        <v>75</v>
      </c>
      <c r="C60" s="160">
        <v>83328</v>
      </c>
      <c r="D60" s="161">
        <v>1865130624</v>
      </c>
      <c r="E60" s="166">
        <v>-315284032</v>
      </c>
      <c r="F60" s="168">
        <v>-0.14460000000000001</v>
      </c>
      <c r="I60" s="162" t="s">
        <v>6</v>
      </c>
      <c r="J60" s="163">
        <f>J58+J59</f>
        <v>0</v>
      </c>
      <c r="K60" s="164">
        <f>K58+K59</f>
        <v>0</v>
      </c>
      <c r="L60" s="268">
        <f>L58+L59</f>
        <v>0</v>
      </c>
      <c r="M60" s="238"/>
    </row>
    <row r="61" spans="2:13">
      <c r="B61" s="90" t="s">
        <v>76</v>
      </c>
      <c r="C61" s="160">
        <v>16545</v>
      </c>
      <c r="D61" s="161">
        <v>3695564774</v>
      </c>
      <c r="E61" s="166">
        <v>-175444813</v>
      </c>
      <c r="F61" s="168">
        <v>-4.53E-2</v>
      </c>
      <c r="I61" s="216"/>
      <c r="J61" s="223"/>
      <c r="K61" s="217"/>
      <c r="L61" s="217"/>
      <c r="M61" s="218"/>
    </row>
    <row r="62" spans="2:13" ht="15.75" thickBot="1">
      <c r="B62" s="162" t="s">
        <v>6</v>
      </c>
      <c r="C62" s="163">
        <f>SUM(C60:C61)</f>
        <v>99873</v>
      </c>
      <c r="D62" s="199">
        <f t="shared" ref="D62:E62" si="0">SUM(D60:D61)</f>
        <v>5560695398</v>
      </c>
      <c r="E62" s="166">
        <f t="shared" si="0"/>
        <v>-490728845</v>
      </c>
      <c r="F62" s="44"/>
      <c r="I62" s="45"/>
      <c r="J62" s="219"/>
      <c r="K62" s="220"/>
      <c r="L62" s="221"/>
      <c r="M62" s="21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Carlos Sandoval</cp:lastModifiedBy>
  <dcterms:created xsi:type="dcterms:W3CDTF">2022-06-08T21:52:11Z</dcterms:created>
  <dcterms:modified xsi:type="dcterms:W3CDTF">2026-02-16T20:02:19Z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