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3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carlos.sandoval\Desktop\"/>
    </mc:Choice>
  </mc:AlternateContent>
  <xr:revisionPtr revIDLastSave="0" documentId="8_{11DCF2E7-50BD-4DAF-902A-4B4A3ACAE74C}" xr6:coauthVersionLast="47" xr6:coauthVersionMax="47" xr10:uidLastSave="{00000000-0000-0000-0000-000000000000}"/>
  <bookViews>
    <workbookView xWindow="-120" yWindow="-120" windowWidth="29040" windowHeight="15720" tabRatio="800" activeTab="2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  <definedName name="_xlnm.Print_Area" localSheetId="2">'ATRASOS '!$A$1:$AH$178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2" i="17" l="1"/>
  <c r="H91" i="17"/>
  <c r="E91" i="17"/>
  <c r="D76" i="17"/>
  <c r="D86" i="17" s="1"/>
  <c r="E76" i="17"/>
  <c r="E86" i="17" s="1"/>
  <c r="F76" i="17"/>
  <c r="F86" i="17" s="1"/>
  <c r="G76" i="17"/>
  <c r="G86" i="17" s="1"/>
  <c r="H76" i="17"/>
  <c r="H86" i="17" s="1"/>
  <c r="I76" i="17"/>
  <c r="I86" i="17" s="1"/>
  <c r="C76" i="17"/>
  <c r="J164" i="17"/>
  <c r="F175" i="17"/>
  <c r="F174" i="17"/>
  <c r="F173" i="17"/>
  <c r="F172" i="17"/>
  <c r="F171" i="17"/>
  <c r="F166" i="17"/>
  <c r="F165" i="17"/>
  <c r="F164" i="17"/>
  <c r="I176" i="17"/>
  <c r="H176" i="17"/>
  <c r="G176" i="17"/>
  <c r="E176" i="17"/>
  <c r="D176" i="17"/>
  <c r="C176" i="17"/>
  <c r="K175" i="17"/>
  <c r="K174" i="17"/>
  <c r="K173" i="17"/>
  <c r="K172" i="17"/>
  <c r="K171" i="17"/>
  <c r="K170" i="17"/>
  <c r="K169" i="17"/>
  <c r="K168" i="17"/>
  <c r="K167" i="17"/>
  <c r="K166" i="17"/>
  <c r="K165" i="17"/>
  <c r="F176" i="17"/>
  <c r="C93" i="19"/>
  <c r="C86" i="19"/>
  <c r="F54" i="19"/>
  <c r="C91" i="19" s="1"/>
  <c r="E62" i="19"/>
  <c r="C81" i="19" s="1"/>
  <c r="C13" i="18"/>
  <c r="C12" i="18"/>
  <c r="C14" i="18" s="1"/>
  <c r="I66" i="17"/>
  <c r="I65" i="17"/>
  <c r="I64" i="17"/>
  <c r="I63" i="17"/>
  <c r="H157" i="17"/>
  <c r="G62" i="17"/>
  <c r="G71" i="17" s="1"/>
  <c r="F62" i="17"/>
  <c r="F71" i="17" s="1"/>
  <c r="D62" i="17"/>
  <c r="D71" i="17" s="1"/>
  <c r="E62" i="17"/>
  <c r="C62" i="17"/>
  <c r="F76" i="19"/>
  <c r="E76" i="19"/>
  <c r="O51" i="18"/>
  <c r="O50" i="18"/>
  <c r="M53" i="18"/>
  <c r="C28" i="18"/>
  <c r="C36" i="18"/>
  <c r="C92" i="19"/>
  <c r="C47" i="19"/>
  <c r="C41" i="19"/>
  <c r="C113" i="19"/>
  <c r="C58" i="11"/>
  <c r="C28" i="11"/>
  <c r="J46" i="17"/>
  <c r="K46" i="17" s="1"/>
  <c r="K51" i="17" s="1"/>
  <c r="M16" i="17"/>
  <c r="J77" i="17"/>
  <c r="C85" i="19"/>
  <c r="C84" i="19"/>
  <c r="C83" i="19"/>
  <c r="C82" i="19"/>
  <c r="C40" i="19"/>
  <c r="C39" i="19"/>
  <c r="C38" i="19"/>
  <c r="C37" i="19"/>
  <c r="C36" i="19"/>
  <c r="E30" i="19"/>
  <c r="H151" i="17"/>
  <c r="H158" i="17"/>
  <c r="G158" i="17"/>
  <c r="G157" i="17"/>
  <c r="H152" i="17"/>
  <c r="G152" i="17"/>
  <c r="G151" i="17"/>
  <c r="J45" i="17"/>
  <c r="K45" i="17" s="1"/>
  <c r="L53" i="18"/>
  <c r="N53" i="18"/>
  <c r="H145" i="17"/>
  <c r="G145" i="17"/>
  <c r="J44" i="17"/>
  <c r="K44" i="17" s="1"/>
  <c r="C29" i="11"/>
  <c r="C20" i="11"/>
  <c r="H146" i="17"/>
  <c r="G146" i="17"/>
  <c r="K53" i="18"/>
  <c r="J53" i="18"/>
  <c r="C44" i="18"/>
  <c r="H140" i="17"/>
  <c r="G140" i="17"/>
  <c r="H139" i="17"/>
  <c r="G139" i="17"/>
  <c r="H134" i="17"/>
  <c r="G134" i="17"/>
  <c r="H133" i="17"/>
  <c r="G133" i="17"/>
  <c r="J51" i="17"/>
  <c r="F51" i="17"/>
  <c r="J43" i="17"/>
  <c r="K43" i="17" s="1"/>
  <c r="J42" i="17"/>
  <c r="K42" i="17" s="1"/>
  <c r="L16" i="17"/>
  <c r="C129" i="19"/>
  <c r="C128" i="19"/>
  <c r="C127" i="19"/>
  <c r="C126" i="19"/>
  <c r="C125" i="19"/>
  <c r="C124" i="19"/>
  <c r="C123" i="19"/>
  <c r="C119" i="19"/>
  <c r="C118" i="19"/>
  <c r="C117" i="19"/>
  <c r="C116" i="19"/>
  <c r="C115" i="19"/>
  <c r="C134" i="19" s="1"/>
  <c r="C114" i="19"/>
  <c r="E108" i="19"/>
  <c r="C46" i="19"/>
  <c r="C59" i="11"/>
  <c r="C57" i="11"/>
  <c r="C52" i="11"/>
  <c r="C51" i="11"/>
  <c r="C50" i="11"/>
  <c r="C49" i="11"/>
  <c r="C48" i="11"/>
  <c r="C47" i="11"/>
  <c r="C26" i="11"/>
  <c r="C27" i="11"/>
  <c r="C25" i="11"/>
  <c r="C19" i="11"/>
  <c r="C18" i="11"/>
  <c r="C17" i="11"/>
  <c r="C16" i="11"/>
  <c r="C15" i="11"/>
  <c r="I53" i="18"/>
  <c r="J76" i="17" l="1"/>
  <c r="C81" i="17" s="1"/>
  <c r="C86" i="17"/>
  <c r="K164" i="17"/>
  <c r="J176" i="17"/>
  <c r="K176" i="17" s="1"/>
  <c r="C71" i="17"/>
  <c r="I62" i="17"/>
  <c r="E71" i="17"/>
  <c r="C87" i="19"/>
  <c r="C130" i="19"/>
  <c r="C139" i="19"/>
  <c r="C155" i="19" s="1"/>
  <c r="C138" i="19"/>
  <c r="C154" i="19" s="1"/>
  <c r="C137" i="19"/>
  <c r="C152" i="19" s="1"/>
  <c r="C150" i="19"/>
  <c r="C136" i="19"/>
  <c r="C151" i="19" s="1"/>
  <c r="C144" i="19"/>
  <c r="C135" i="19"/>
  <c r="C120" i="19"/>
  <c r="C31" i="11"/>
  <c r="C21" i="11"/>
  <c r="C94" i="19"/>
  <c r="D92" i="19" l="1"/>
  <c r="D91" i="19"/>
  <c r="H67" i="17"/>
  <c r="G67" i="17"/>
  <c r="F67" i="17"/>
  <c r="E67" i="17"/>
  <c r="D67" i="17"/>
  <c r="C67" i="17"/>
  <c r="C145" i="19"/>
  <c r="C153" i="19"/>
  <c r="C149" i="19"/>
  <c r="C156" i="19" s="1"/>
  <c r="C140" i="19"/>
  <c r="D93" i="19"/>
  <c r="K41" i="17"/>
  <c r="H128" i="17"/>
  <c r="H127" i="17"/>
  <c r="G128" i="17"/>
  <c r="G127" i="17"/>
  <c r="D94" i="19" l="1"/>
  <c r="H53" i="18" l="1"/>
  <c r="H122" i="17"/>
  <c r="G122" i="17"/>
  <c r="H121" i="17"/>
  <c r="G121" i="17"/>
  <c r="K40" i="17" l="1"/>
  <c r="C60" i="11"/>
  <c r="G53" i="18"/>
  <c r="G116" i="17"/>
  <c r="G115" i="17"/>
  <c r="F81" i="17" l="1"/>
  <c r="I81" i="17"/>
  <c r="D81" i="17"/>
  <c r="E81" i="17"/>
  <c r="G81" i="17"/>
  <c r="H81" i="17"/>
  <c r="H116" i="17"/>
  <c r="H115" i="17"/>
  <c r="K39" i="17"/>
  <c r="F53" i="18"/>
  <c r="J80" i="17"/>
  <c r="J79" i="17"/>
  <c r="J78" i="17"/>
  <c r="K38" i="17" l="1"/>
  <c r="D108" i="19" l="1"/>
  <c r="D109" i="19" s="1"/>
  <c r="E53" i="18"/>
  <c r="J86" i="17"/>
  <c r="H110" i="17"/>
  <c r="H109" i="17"/>
  <c r="G110" i="17"/>
  <c r="G109" i="17"/>
  <c r="H104" i="17"/>
  <c r="H103" i="17"/>
  <c r="G104" i="17"/>
  <c r="G103" i="17"/>
  <c r="J37" i="17"/>
  <c r="K37" i="17" s="1"/>
  <c r="E104" i="19" l="1"/>
  <c r="D104" i="19"/>
  <c r="C22" i="18"/>
  <c r="D53" i="18"/>
  <c r="H98" i="17"/>
  <c r="H97" i="17"/>
  <c r="G97" i="17"/>
  <c r="G98" i="17"/>
  <c r="D105" i="19" l="1"/>
  <c r="D110" i="19" s="1"/>
  <c r="J36" i="17"/>
  <c r="K36" i="17" s="1"/>
  <c r="J35" i="17" l="1"/>
  <c r="F35" i="17"/>
  <c r="D62" i="21"/>
  <c r="E62" i="21"/>
  <c r="C62" i="21"/>
  <c r="I47" i="17" l="1"/>
  <c r="H47" i="17"/>
  <c r="G47" i="17"/>
  <c r="O52" i="18"/>
  <c r="H71" i="17" l="1"/>
  <c r="E45" i="21" l="1"/>
  <c r="D45" i="21"/>
  <c r="C45" i="21"/>
  <c r="E40" i="21"/>
  <c r="D40" i="21"/>
  <c r="C40" i="21"/>
  <c r="E35" i="21"/>
  <c r="D35" i="21"/>
  <c r="C35" i="21"/>
  <c r="E30" i="21"/>
  <c r="D30" i="21"/>
  <c r="C30" i="21"/>
  <c r="E25" i="21"/>
  <c r="D25" i="21"/>
  <c r="C25" i="21"/>
  <c r="E20" i="21"/>
  <c r="D20" i="21"/>
  <c r="C20" i="21"/>
  <c r="E15" i="21"/>
  <c r="D15" i="21"/>
  <c r="C15" i="21"/>
  <c r="E10" i="21"/>
  <c r="D10" i="21"/>
  <c r="C10" i="21"/>
  <c r="E5" i="21"/>
  <c r="D5" i="21"/>
  <c r="C5" i="21"/>
  <c r="D33" i="20"/>
  <c r="C33" i="20"/>
  <c r="C16" i="20"/>
  <c r="D16" i="20"/>
  <c r="C53" i="18"/>
  <c r="C54" i="18" s="1"/>
  <c r="C7" i="18"/>
  <c r="G92" i="17"/>
  <c r="G91" i="17"/>
  <c r="E47" i="17"/>
  <c r="D47" i="17"/>
  <c r="C47" i="17"/>
  <c r="K16" i="17"/>
  <c r="J16" i="17"/>
  <c r="I16" i="17"/>
  <c r="H16" i="17"/>
  <c r="G16" i="17"/>
  <c r="F16" i="17"/>
  <c r="E16" i="17"/>
  <c r="D16" i="17"/>
  <c r="C16" i="17"/>
  <c r="C49" i="19"/>
  <c r="C42" i="19"/>
  <c r="F30" i="19"/>
  <c r="C53" i="11"/>
  <c r="D43" i="11"/>
  <c r="C43" i="11"/>
  <c r="D10" i="11"/>
  <c r="C10" i="11"/>
  <c r="D46" i="19" l="1"/>
  <c r="D48" i="19"/>
  <c r="D47" i="19"/>
  <c r="D86" i="19"/>
  <c r="D85" i="19"/>
  <c r="D84" i="19"/>
  <c r="D83" i="19"/>
  <c r="D82" i="19"/>
  <c r="D81" i="19"/>
  <c r="D41" i="19"/>
  <c r="D40" i="19"/>
  <c r="D39" i="19"/>
  <c r="D38" i="19"/>
  <c r="D37" i="19"/>
  <c r="D36" i="19"/>
  <c r="O53" i="18"/>
  <c r="J47" i="17"/>
  <c r="K47" i="17" s="1"/>
  <c r="K35" i="17"/>
  <c r="F47" i="17"/>
  <c r="E77" i="19"/>
  <c r="E31" i="19"/>
  <c r="D49" i="19" l="1"/>
  <c r="D87" i="19"/>
  <c r="D42" i="19"/>
</calcChain>
</file>

<file path=xl/sharedStrings.xml><?xml version="1.0" encoding="utf-8"?>
<sst xmlns="http://schemas.openxmlformats.org/spreadsheetml/2006/main" count="783" uniqueCount="202">
  <si>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</si>
  <si>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</si>
  <si>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</si>
  <si>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</si>
  <si>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</si>
  <si>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</si>
  <si>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</si>
  <si>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</si>
  <si>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</si>
  <si>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</si>
  <si>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</si>
  <si>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</si>
  <si>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</si>
  <si>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</si>
  <si>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</si>
  <si>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</si>
  <si>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</si>
  <si>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</si>
  <si>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</si>
  <si>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</si>
  <si>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</si>
  <si>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</si>
  <si>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</si>
  <si>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</si>
  <si>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</si>
  <si>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</si>
  <si>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</si>
  <si>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</si>
  <si>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</si>
  <si>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</si>
  <si>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</si>
  <si>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</si>
  <si>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</si>
  <si>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</si>
  <si>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</si>
  <si>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</si>
  <si>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</si>
  <si>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</si>
  <si>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</si>
  <si>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</si>
  <si>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</si>
  <si>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</si>
  <si>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</si>
  <si>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</si>
  <si>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</si>
  <si>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</si>
  <si>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</si>
  <si>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</si>
  <si>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</si>
  <si>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</si>
  <si>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</si>
  <si>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</si>
  <si>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</si>
  <si>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</si>
  <si>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</si>
  <si>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</si>
  <si>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</si>
  <si>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</si>
  <si>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</si>
  <si>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</si>
  <si>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</si>
  <si>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</si>
  <si>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</si>
  <si>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>PAX. SALIDOS</t>
  </si>
  <si>
    <t>VALOR TOTAL</t>
  </si>
  <si>
    <t xml:space="preserve">VALOR TASA (M/CTE) </t>
  </si>
  <si>
    <t>VARIACION EN PESOS MES ANTERIOR</t>
  </si>
  <si>
    <t>Variación porcentual mes anterior</t>
  </si>
  <si>
    <r>
      <t xml:space="preserve">Ingresos Generados Pax </t>
    </r>
    <r>
      <rPr>
        <b/>
        <sz val="13"/>
        <color theme="1"/>
        <rFont val="Calibri"/>
        <family val="2"/>
        <scheme val="minor"/>
      </rPr>
      <t>NACIONALES</t>
    </r>
  </si>
  <si>
    <t xml:space="preserve">VALOR TASA (USD) </t>
  </si>
  <si>
    <r>
      <t>Ingresos Generados Pax</t>
    </r>
    <r>
      <rPr>
        <sz val="13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INTERNACIONALES</t>
    </r>
  </si>
  <si>
    <t>No. Pax</t>
  </si>
  <si>
    <t>MONTO</t>
  </si>
  <si>
    <t>Variación en Pesos</t>
  </si>
  <si>
    <t>Porcentual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</si>
  <si>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</si>
  <si>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</si>
  <si>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</si>
  <si>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</si>
  <si>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</si>
  <si>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</si>
  <si>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</si>
  <si>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</si>
  <si>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</si>
  <si>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</si>
  <si>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</si>
  <si>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</si>
  <si>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</si>
  <si>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</si>
  <si>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</si>
  <si>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</si>
  <si>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</si>
  <si>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</si>
  <si>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</si>
  <si>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</si>
  <si>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>-</t>
  </si>
  <si>
    <t xml:space="preserve">TOTAL </t>
  </si>
  <si>
    <t>CLIC</t>
  </si>
  <si>
    <t>WINGO</t>
  </si>
  <si>
    <t>MOVIMIENTO DE CARGA DOMESTICO COLOMBIA</t>
  </si>
  <si>
    <t xml:space="preserve"> MOVIMIENTO DE CARGA DOMESTICO COLOMBIA</t>
  </si>
  <si>
    <t>JETSMART</t>
  </si>
  <si>
    <t>AVIACIÓN GENERAL</t>
  </si>
  <si>
    <t>SANTA MARTA</t>
  </si>
  <si>
    <t>PALMIRA</t>
  </si>
  <si>
    <t>SKCL</t>
  </si>
  <si>
    <t>AVIACIÓN ESTATAL</t>
  </si>
  <si>
    <t>% DE CREC. 2024 VS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</si>
  <si>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</si>
  <si>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</si>
  <si>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</si>
  <si>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</si>
  <si>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</si>
  <si>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</si>
  <si>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</si>
  <si>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</si>
  <si>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</si>
  <si>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</si>
  <si>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</si>
  <si>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</si>
  <si>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TOTAL PRIMER SEMESTRE AÑO 2025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</si>
  <si>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</si>
  <si>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</si>
  <si>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</si>
  <si>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</si>
  <si>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</si>
  <si>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</si>
  <si>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</si>
  <si>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</si>
  <si>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</si>
  <si>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</si>
  <si>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 xml:space="preserve">LATAM </t>
  </si>
  <si>
    <t>AVIACION ESTATAL</t>
  </si>
  <si>
    <t>VILLAVICENCIO</t>
  </si>
  <si>
    <t>SKVV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</si>
  <si>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</si>
  <si>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</si>
  <si>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</si>
  <si>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</si>
  <si>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</si>
  <si>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</si>
  <si>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</si>
  <si>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</si>
  <si>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</si>
  <si>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</si>
  <si>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SKBG</t>
  </si>
  <si>
    <t>Aeropuerto Palonegro</t>
  </si>
  <si>
    <t>Aeropuerto Perales</t>
  </si>
  <si>
    <t>BUCARAMANGA</t>
  </si>
  <si>
    <t>IBAGUE</t>
  </si>
  <si>
    <t>SVMZ</t>
  </si>
  <si>
    <t>SKUR</t>
  </si>
  <si>
    <t>SKEJ</t>
  </si>
  <si>
    <t>Aeropuerto el eden</t>
  </si>
  <si>
    <t>MANIZALES</t>
  </si>
  <si>
    <t>Aeropuerto Santiago Perez</t>
  </si>
  <si>
    <t>ARAUCA</t>
  </si>
  <si>
    <t>Aeropuerto yariguíes</t>
  </si>
  <si>
    <t>BARRANCABERMEJA</t>
  </si>
  <si>
    <t>SKVP</t>
  </si>
  <si>
    <t>VALLEDUPAR</t>
  </si>
  <si>
    <t>Aeropuerto Alfonso Lopez</t>
  </si>
  <si>
    <t>TOTAL OPERACIONES</t>
  </si>
  <si>
    <t>Aeropuerto Guaymaral</t>
  </si>
  <si>
    <t xml:space="preserve">BOGOTA </t>
  </si>
  <si>
    <t>SKSJ</t>
  </si>
  <si>
    <t>Aeropuerto Jorge Enrique González Torres</t>
  </si>
  <si>
    <t>GUAVIARE</t>
  </si>
  <si>
    <t xml:space="preserve">Aero Marcos A. Gelabert </t>
  </si>
  <si>
    <t>MPMG</t>
  </si>
  <si>
    <t>COMPARATIVO OPERACIÓN ANUAL POR DESTINO Y PROCEDENCIA 2016-2026</t>
  </si>
  <si>
    <t>COMPARATIVO OPERACIONES DESTINO Y PROCEDENCIA  DICIEMBRE 2024 VS DICIEMBRE 2025</t>
  </si>
  <si>
    <t>Aeropuerto Santiago Pérez Quiroz</t>
  </si>
  <si>
    <t>KTPA</t>
  </si>
  <si>
    <t>TAMPA</t>
  </si>
  <si>
    <t>Aeropuerto internacional de tampa</t>
  </si>
  <si>
    <t>SATENA</t>
  </si>
  <si>
    <t>VOLUMEN DE CARGA ENERO 2026</t>
  </si>
  <si>
    <t>VOLUMEN DE CARGA SEGUNDO SEMESTRE AÑO 2026  ( JULIO - DICIEMBRE)</t>
  </si>
  <si>
    <t>VOLUMEN DE CARGA PRIMER SEMESTRE AÑO 2026  (ENERO - JUNIO)</t>
  </si>
  <si>
    <t>TOTAL SEGUNDO SEMESTRE AÑO 2026</t>
  </si>
  <si>
    <t>TOTAL KILOS</t>
  </si>
  <si>
    <t>Kilos Carga CO PEI</t>
  </si>
  <si>
    <t xml:space="preserve">TOTAL KILOS </t>
  </si>
  <si>
    <t>VALOR EN TASAS AEROPORTUARIAS PASAJEROS SALIDOS NACIONALES 2026</t>
  </si>
  <si>
    <t>VALOR EN TASAS AEROPORTUARIAS PASAJEROS SALIDOS INTERNACIONALES 2026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</si>
  <si>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</t>
    </r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</si>
  <si>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</t>
    </r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</si>
  <si>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PROCEDENCIA</t>
    </r>
  </si>
  <si>
    <t>RIONEGRO</t>
  </si>
  <si>
    <t>SKPS</t>
  </si>
  <si>
    <t>Aeropuerto en Chachagüí</t>
  </si>
  <si>
    <t>NARIÑO</t>
  </si>
  <si>
    <t>Aeropuerto los Garzones</t>
  </si>
  <si>
    <t>MONTERIA</t>
  </si>
  <si>
    <t>SKMR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</si>
  <si>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DESTINO</t>
    </r>
  </si>
  <si>
    <t>MOVIMIENTO DE OPERACIONES POR AEROLINEA</t>
  </si>
  <si>
    <t>REPORTE VUELOS ATRASADOS</t>
  </si>
  <si>
    <t>REPORTE VUELOS ATRASADOS ENERO 2025</t>
  </si>
  <si>
    <t>REPORTE VUELOS ATRASOS ENERO 2026</t>
  </si>
  <si>
    <t xml:space="preserve">COMPARATIVO OPERACIONES DESTINO Y PROCEDENCIA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</si>
</sst>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&quot;$&quot;\ #,##0"/>
    <numFmt numFmtId="165" formatCode="&quot;$&quot;\ #,##0.00"/>
    <numFmt numFmtId="166" formatCode="_(&quot;$&quot;\ * #,##0.00_);_(&quot;$&quot;\ * \(#,##0.00\);_(&quot;$&quot;\ * &quot;-&quot;??_);_(@_)"/>
    <numFmt numFmtId="167" formatCode="0.0%"/>
  </numFmts>
  <fonts count="6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b/>
      <sz val="13"/>
      <color theme="1"/>
      <name val="Calibri"/>
      <family val="2"/>
      <scheme val="minor"/>
    </font>
    <font>
      <sz val="1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Arial"/>
      <family val="2"/>
    </font>
    <font>
      <b/>
      <sz val="13"/>
      <color theme="1"/>
      <name val="Arial"/>
      <family val="2"/>
    </font>
    <font>
      <b/>
      <sz val="10"/>
      <name val="Calibri"/>
      <family val="2"/>
      <scheme val="minor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b/>
      <sz val="10"/>
      <color rgb="FFC00000"/>
      <name val="Calibri"/>
      <family val="2"/>
      <scheme val="minor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  <font>
      <sz val="11"/>
      <color theme="9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8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8">
    <xf numFmtId="0" fontId="0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5" fillId="30" borderId="0">
      <alignment horizontal="center" vertical="center"/>
    </xf>
    <xf numFmtId="0" fontId="55" fillId="30" borderId="0"/>
    <xf numFmtId="0" fontId="1" fillId="0" borderId="0"/>
  </cellStyleXfs>
  <cellXfs count="454">
    <xf numFmtId="0" fontId="0" fillId="0" borderId="0" xfId="0"/>
    <xf numFmtId="0" fontId="6" fillId="3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6" fillId="7" borderId="5" xfId="0" applyFont="1" applyFill="1" applyBorder="1" applyAlignment="1">
      <alignment horizontal="left" vertical="top" wrapText="1"/>
    </xf>
    <xf numFmtId="3" fontId="6" fillId="7" borderId="6" xfId="2" applyNumberFormat="1" applyFont="1" applyFill="1" applyBorder="1" applyAlignment="1">
      <alignment horizontal="center" vertical="top" wrapText="1"/>
    </xf>
    <xf numFmtId="3" fontId="6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10" fillId="6" borderId="0" xfId="0" applyFont="1" applyFill="1" applyAlignment="1">
      <alignment horizontal="left" vertical="center" wrapText="1"/>
    </xf>
    <xf numFmtId="0" fontId="10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1" fillId="6" borderId="0" xfId="0" applyFont="1" applyFill="1" applyAlignment="1">
      <alignment horizontal="left" vertical="top" wrapText="1"/>
    </xf>
    <xf numFmtId="0" fontId="11" fillId="6" borderId="0" xfId="0" applyFont="1" applyFill="1" applyAlignment="1">
      <alignment horizontal="right" vertical="top" wrapText="1"/>
    </xf>
    <xf numFmtId="3" fontId="12" fillId="6" borderId="0" xfId="0" applyNumberFormat="1" applyFont="1" applyFill="1" applyAlignment="1">
      <alignment horizontal="right" vertical="top" shrinkToFit="1"/>
    </xf>
    <xf numFmtId="0" fontId="6" fillId="9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6" fillId="14" borderId="8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5" fillId="0" borderId="0" xfId="0" applyFont="1"/>
    <xf numFmtId="3" fontId="22" fillId="0" borderId="3" xfId="0" applyNumberFormat="1" applyFont="1" applyBorder="1"/>
    <xf numFmtId="0" fontId="23" fillId="18" borderId="5" xfId="0" applyFont="1" applyFill="1" applyBorder="1" applyAlignment="1">
      <alignment horizontal="center" vertical="center" wrapText="1"/>
    </xf>
    <xf numFmtId="0" fontId="23" fillId="18" borderId="6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 wrapText="1"/>
    </xf>
    <xf numFmtId="49" fontId="23" fillId="4" borderId="3" xfId="0" applyNumberFormat="1" applyFont="1" applyFill="1" applyBorder="1" applyAlignment="1">
      <alignment horizontal="center" vertical="center" wrapText="1"/>
    </xf>
    <xf numFmtId="49" fontId="23" fillId="4" borderId="4" xfId="0" applyNumberFormat="1" applyFont="1" applyFill="1" applyBorder="1" applyAlignment="1">
      <alignment horizontal="center" vertical="center" wrapText="1"/>
    </xf>
    <xf numFmtId="17" fontId="0" fillId="0" borderId="2" xfId="0" applyNumberFormat="1" applyBorder="1"/>
    <xf numFmtId="3" fontId="0" fillId="0" borderId="3" xfId="0" applyNumberFormat="1" applyBorder="1" applyAlignment="1">
      <alignment horizontal="center"/>
    </xf>
    <xf numFmtId="164" fontId="0" fillId="0" borderId="3" xfId="0" applyNumberFormat="1" applyBorder="1"/>
    <xf numFmtId="41" fontId="0" fillId="0" borderId="3" xfId="1" applyFont="1" applyBorder="1"/>
    <xf numFmtId="6" fontId="29" fillId="0" borderId="3" xfId="1" applyNumberFormat="1" applyFont="1" applyBorder="1"/>
    <xf numFmtId="10" fontId="29" fillId="0" borderId="4" xfId="3" applyNumberFormat="1" applyFont="1" applyBorder="1"/>
    <xf numFmtId="3" fontId="0" fillId="0" borderId="6" xfId="0" applyNumberFormat="1" applyBorder="1" applyAlignment="1">
      <alignment horizontal="center"/>
    </xf>
    <xf numFmtId="41" fontId="0" fillId="0" borderId="6" xfId="1" applyFont="1" applyBorder="1"/>
    <xf numFmtId="6" fontId="29" fillId="0" borderId="6" xfId="1" applyNumberFormat="1" applyFont="1" applyBorder="1"/>
    <xf numFmtId="164" fontId="31" fillId="0" borderId="3" xfId="0" applyNumberFormat="1" applyFont="1" applyBorder="1"/>
    <xf numFmtId="10" fontId="31" fillId="0" borderId="4" xfId="3" applyNumberFormat="1" applyFont="1" applyBorder="1"/>
    <xf numFmtId="10" fontId="31" fillId="0" borderId="4" xfId="0" applyNumberFormat="1" applyFont="1" applyBorder="1"/>
    <xf numFmtId="0" fontId="31" fillId="0" borderId="7" xfId="0" applyFont="1" applyBorder="1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3" fontId="0" fillId="0" borderId="0" xfId="0" applyNumberFormat="1"/>
    <xf numFmtId="0" fontId="6" fillId="3" borderId="8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23" fillId="18" borderId="3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11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3" fontId="9" fillId="0" borderId="0" xfId="0" applyNumberFormat="1" applyFont="1" applyAlignment="1">
      <alignment horizontal="right" vertical="top" shrinkToFit="1"/>
    </xf>
    <xf numFmtId="0" fontId="11" fillId="6" borderId="24" xfId="0" applyFont="1" applyFill="1" applyBorder="1"/>
    <xf numFmtId="0" fontId="0" fillId="0" borderId="0" xfId="0" applyAlignment="1">
      <alignment horizontal="center" vertical="center"/>
    </xf>
    <xf numFmtId="3" fontId="18" fillId="0" borderId="0" xfId="0" applyNumberFormat="1" applyFont="1" applyAlignment="1">
      <alignment horizontal="center" vertical="center"/>
    </xf>
    <xf numFmtId="10" fontId="18" fillId="0" borderId="0" xfId="0" applyNumberFormat="1" applyFont="1" applyAlignment="1">
      <alignment horizontal="center" vertical="center"/>
    </xf>
    <xf numFmtId="0" fontId="14" fillId="6" borderId="24" xfId="0" applyFont="1" applyFill="1" applyBorder="1"/>
    <xf numFmtId="0" fontId="11" fillId="0" borderId="0" xfId="0" applyFont="1" applyAlignment="1">
      <alignment horizontal="left" vertical="top" wrapText="1"/>
    </xf>
    <xf numFmtId="1" fontId="12" fillId="0" borderId="0" xfId="0" applyNumberFormat="1" applyFont="1" applyAlignment="1">
      <alignment horizontal="right" vertical="top" shrinkToFit="1"/>
    </xf>
    <xf numFmtId="3" fontId="0" fillId="0" borderId="3" xfId="0" applyNumberFormat="1" applyBorder="1" applyAlignment="1">
      <alignment horizontal="center" vertical="center"/>
    </xf>
    <xf numFmtId="3" fontId="16" fillId="0" borderId="4" xfId="0" applyNumberFormat="1" applyFont="1" applyBorder="1" applyAlignment="1">
      <alignment horizontal="center" vertical="center" shrinkToFit="1"/>
    </xf>
    <xf numFmtId="41" fontId="6" fillId="6" borderId="3" xfId="1" applyFont="1" applyFill="1" applyBorder="1" applyAlignment="1">
      <alignment horizontal="center" vertical="center"/>
    </xf>
    <xf numFmtId="3" fontId="16" fillId="0" borderId="3" xfId="0" applyNumberFormat="1" applyFont="1" applyBorder="1" applyAlignment="1">
      <alignment horizontal="center" vertical="center" shrinkToFit="1"/>
    </xf>
    <xf numFmtId="3" fontId="17" fillId="0" borderId="4" xfId="0" applyNumberFormat="1" applyFont="1" applyBorder="1" applyAlignment="1">
      <alignment horizontal="center"/>
    </xf>
    <xf numFmtId="3" fontId="8" fillId="0" borderId="0" xfId="0" applyNumberFormat="1" applyFont="1" applyAlignment="1">
      <alignment horizontal="right" vertical="top" wrapText="1"/>
    </xf>
    <xf numFmtId="3" fontId="9" fillId="6" borderId="0" xfId="0" applyNumberFormat="1" applyFont="1" applyFill="1" applyAlignment="1">
      <alignment horizontal="right" vertical="top" shrinkToFit="1"/>
    </xf>
    <xf numFmtId="1" fontId="9" fillId="0" borderId="0" xfId="0" applyNumberFormat="1" applyFont="1" applyAlignment="1">
      <alignment horizontal="right" vertical="top" shrinkToFit="1"/>
    </xf>
    <xf numFmtId="1" fontId="9" fillId="6" borderId="0" xfId="0" applyNumberFormat="1" applyFont="1" applyFill="1" applyAlignment="1">
      <alignment horizontal="right" vertical="top" shrinkToFit="1"/>
    </xf>
    <xf numFmtId="1" fontId="9" fillId="0" borderId="3" xfId="0" applyNumberFormat="1" applyFont="1" applyBorder="1" applyAlignment="1">
      <alignment horizontal="center" vertical="top" shrinkToFit="1"/>
    </xf>
    <xf numFmtId="41" fontId="6" fillId="6" borderId="4" xfId="1" applyFont="1" applyFill="1" applyBorder="1" applyAlignment="1">
      <alignment horizontal="center" vertical="center"/>
    </xf>
    <xf numFmtId="0" fontId="24" fillId="5" borderId="10" xfId="0" applyFont="1" applyFill="1" applyBorder="1" applyAlignment="1">
      <alignment horizontal="center" vertical="center" wrapText="1"/>
    </xf>
    <xf numFmtId="10" fontId="3" fillId="0" borderId="4" xfId="3" applyNumberFormat="1" applyFont="1" applyBorder="1"/>
    <xf numFmtId="164" fontId="3" fillId="6" borderId="3" xfId="1" applyNumberFormat="1" applyFont="1" applyFill="1" applyBorder="1"/>
    <xf numFmtId="41" fontId="6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8" fillId="0" borderId="42" xfId="0" applyFont="1" applyBorder="1" applyAlignment="1">
      <alignment horizontal="left" vertical="top" wrapText="1"/>
    </xf>
    <xf numFmtId="0" fontId="27" fillId="5" borderId="3" xfId="0" applyFont="1" applyFill="1" applyBorder="1" applyAlignment="1">
      <alignment horizontal="center" vertical="center"/>
    </xf>
    <xf numFmtId="0" fontId="19" fillId="12" borderId="4" xfId="0" applyFont="1" applyFill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26" fillId="16" borderId="2" xfId="0" applyFont="1" applyFill="1" applyBorder="1" applyAlignment="1">
      <alignment horizontal="center" vertical="center" wrapText="1"/>
    </xf>
    <xf numFmtId="0" fontId="2" fillId="8" borderId="42" xfId="0" applyFont="1" applyFill="1" applyBorder="1" applyAlignment="1">
      <alignment horizontal="center" vertical="center"/>
    </xf>
    <xf numFmtId="0" fontId="2" fillId="8" borderId="43" xfId="0" applyFont="1" applyFill="1" applyBorder="1" applyAlignment="1">
      <alignment horizontal="center" vertical="center"/>
    </xf>
    <xf numFmtId="3" fontId="8" fillId="0" borderId="3" xfId="0" applyNumberFormat="1" applyFont="1" applyBorder="1" applyAlignment="1">
      <alignment horizontal="center" vertical="center" wrapText="1"/>
    </xf>
    <xf numFmtId="0" fontId="32" fillId="23" borderId="9" xfId="0" applyFont="1" applyFill="1" applyBorder="1" applyAlignment="1">
      <alignment horizontal="center"/>
    </xf>
    <xf numFmtId="0" fontId="32" fillId="23" borderId="10" xfId="0" applyFont="1" applyFill="1" applyBorder="1" applyAlignment="1">
      <alignment horizontal="center"/>
    </xf>
    <xf numFmtId="0" fontId="31" fillId="26" borderId="2" xfId="0" applyFont="1" applyFill="1" applyBorder="1"/>
    <xf numFmtId="3" fontId="12" fillId="0" borderId="0" xfId="0" applyNumberFormat="1" applyFont="1" applyAlignment="1">
      <alignment horizontal="right" vertical="top" shrinkToFit="1"/>
    </xf>
    <xf numFmtId="1" fontId="6" fillId="0" borderId="0" xfId="0" applyNumberFormat="1" applyFont="1" applyAlignment="1">
      <alignment horizontal="center" vertical="center" wrapText="1"/>
    </xf>
    <xf numFmtId="0" fontId="37" fillId="21" borderId="20" xfId="0" applyFont="1" applyFill="1" applyBorder="1" applyAlignment="1">
      <alignment horizontal="center" vertical="center" wrapText="1"/>
    </xf>
    <xf numFmtId="0" fontId="37" fillId="21" borderId="17" xfId="0" applyFont="1" applyFill="1" applyBorder="1" applyAlignment="1">
      <alignment horizontal="center" vertical="center" wrapText="1"/>
    </xf>
    <xf numFmtId="0" fontId="38" fillId="22" borderId="20" xfId="0" applyFont="1" applyFill="1" applyBorder="1" applyAlignment="1">
      <alignment horizontal="center" vertical="center" wrapText="1"/>
    </xf>
    <xf numFmtId="3" fontId="38" fillId="22" borderId="17" xfId="0" applyNumberFormat="1" applyFont="1" applyFill="1" applyBorder="1" applyAlignment="1">
      <alignment horizontal="center" vertical="center" wrapText="1"/>
    </xf>
    <xf numFmtId="0" fontId="33" fillId="0" borderId="20" xfId="0" applyFont="1" applyBorder="1" applyAlignment="1">
      <alignment horizontal="justify" vertical="center" wrapText="1"/>
    </xf>
    <xf numFmtId="0" fontId="34" fillId="0" borderId="17" xfId="0" applyFont="1" applyBorder="1" applyAlignment="1">
      <alignment horizontal="center" vertical="center" wrapText="1"/>
    </xf>
    <xf numFmtId="3" fontId="39" fillId="0" borderId="17" xfId="0" applyNumberFormat="1" applyFont="1" applyBorder="1" applyAlignment="1">
      <alignment horizontal="center" vertical="center" wrapText="1"/>
    </xf>
    <xf numFmtId="0" fontId="20" fillId="28" borderId="42" xfId="0" applyFont="1" applyFill="1" applyBorder="1" applyAlignment="1">
      <alignment horizontal="left"/>
    </xf>
    <xf numFmtId="0" fontId="20" fillId="28" borderId="45" xfId="0" applyFont="1" applyFill="1" applyBorder="1" applyAlignment="1">
      <alignment horizontal="left"/>
    </xf>
    <xf numFmtId="0" fontId="17" fillId="25" borderId="24" xfId="0" applyFont="1" applyFill="1" applyBorder="1" applyAlignment="1">
      <alignment horizontal="left"/>
    </xf>
    <xf numFmtId="3" fontId="17" fillId="0" borderId="2" xfId="0" applyNumberFormat="1" applyFont="1" applyBorder="1" applyAlignment="1">
      <alignment horizontal="center"/>
    </xf>
    <xf numFmtId="3" fontId="17" fillId="0" borderId="3" xfId="0" applyNumberFormat="1" applyFont="1" applyBorder="1" applyAlignment="1">
      <alignment horizontal="center"/>
    </xf>
    <xf numFmtId="0" fontId="20" fillId="27" borderId="2" xfId="0" applyFont="1" applyFill="1" applyBorder="1" applyAlignment="1">
      <alignment horizontal="center" vertical="center"/>
    </xf>
    <xf numFmtId="0" fontId="20" fillId="27" borderId="3" xfId="0" applyFont="1" applyFill="1" applyBorder="1" applyAlignment="1">
      <alignment horizontal="center" vertical="center"/>
    </xf>
    <xf numFmtId="0" fontId="20" fillId="27" borderId="4" xfId="0" applyFont="1" applyFill="1" applyBorder="1" applyAlignment="1">
      <alignment horizontal="center" vertical="center"/>
    </xf>
    <xf numFmtId="0" fontId="17" fillId="17" borderId="3" xfId="0" applyFont="1" applyFill="1" applyBorder="1" applyAlignment="1">
      <alignment horizontal="center"/>
    </xf>
    <xf numFmtId="0" fontId="17" fillId="17" borderId="4" xfId="0" applyFont="1" applyFill="1" applyBorder="1" applyAlignment="1">
      <alignment horizontal="center"/>
    </xf>
    <xf numFmtId="0" fontId="17" fillId="25" borderId="2" xfId="0" applyFont="1" applyFill="1" applyBorder="1" applyAlignment="1">
      <alignment horizontal="left"/>
    </xf>
    <xf numFmtId="0" fontId="31" fillId="0" borderId="1" xfId="0" applyFont="1" applyBorder="1" applyAlignment="1">
      <alignment horizontal="center"/>
    </xf>
    <xf numFmtId="0" fontId="31" fillId="0" borderId="21" xfId="0" applyFont="1" applyBorder="1" applyAlignment="1">
      <alignment horizontal="center"/>
    </xf>
    <xf numFmtId="0" fontId="26" fillId="24" borderId="2" xfId="0" applyFont="1" applyFill="1" applyBorder="1" applyAlignment="1">
      <alignment horizontal="center"/>
    </xf>
    <xf numFmtId="0" fontId="26" fillId="24" borderId="3" xfId="0" applyFont="1" applyFill="1" applyBorder="1" applyAlignment="1">
      <alignment horizontal="center"/>
    </xf>
    <xf numFmtId="0" fontId="26" fillId="24" borderId="4" xfId="0" applyFont="1" applyFill="1" applyBorder="1" applyAlignment="1">
      <alignment horizontal="center"/>
    </xf>
    <xf numFmtId="0" fontId="25" fillId="25" borderId="24" xfId="0" applyFont="1" applyFill="1" applyBorder="1" applyAlignment="1">
      <alignment horizontal="left"/>
    </xf>
    <xf numFmtId="3" fontId="25" fillId="0" borderId="2" xfId="0" applyNumberFormat="1" applyFont="1" applyBorder="1" applyAlignment="1">
      <alignment horizontal="center"/>
    </xf>
    <xf numFmtId="3" fontId="25" fillId="0" borderId="3" xfId="0" applyNumberFormat="1" applyFont="1" applyBorder="1" applyAlignment="1">
      <alignment horizontal="center"/>
    </xf>
    <xf numFmtId="3" fontId="25" fillId="0" borderId="4" xfId="0" applyNumberFormat="1" applyFont="1" applyBorder="1" applyAlignment="1">
      <alignment horizontal="center"/>
    </xf>
    <xf numFmtId="0" fontId="25" fillId="25" borderId="45" xfId="0" applyFont="1" applyFill="1" applyBorder="1" applyAlignment="1">
      <alignment horizontal="left"/>
    </xf>
    <xf numFmtId="0" fontId="26" fillId="24" borderId="24" xfId="0" applyFont="1" applyFill="1" applyBorder="1" applyAlignment="1">
      <alignment horizontal="center" wrapText="1"/>
    </xf>
    <xf numFmtId="0" fontId="25" fillId="15" borderId="2" xfId="0" applyFont="1" applyFill="1" applyBorder="1" applyAlignment="1">
      <alignment horizontal="center"/>
    </xf>
    <xf numFmtId="0" fontId="25" fillId="2" borderId="42" xfId="0" applyFont="1" applyFill="1" applyBorder="1" applyAlignment="1">
      <alignment horizontal="left"/>
    </xf>
    <xf numFmtId="0" fontId="27" fillId="10" borderId="42" xfId="0" applyFont="1" applyFill="1" applyBorder="1" applyAlignment="1">
      <alignment horizontal="center"/>
    </xf>
    <xf numFmtId="3" fontId="27" fillId="10" borderId="3" xfId="0" applyNumberFormat="1" applyFont="1" applyFill="1" applyBorder="1" applyAlignment="1">
      <alignment horizontal="center"/>
    </xf>
    <xf numFmtId="3" fontId="16" fillId="0" borderId="30" xfId="0" applyNumberFormat="1" applyFont="1" applyBorder="1" applyAlignment="1">
      <alignment horizontal="center" vertical="center" shrinkToFit="1"/>
    </xf>
    <xf numFmtId="0" fontId="8" fillId="0" borderId="24" xfId="0" applyFont="1" applyBorder="1"/>
    <xf numFmtId="3" fontId="8" fillId="0" borderId="2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3" fontId="8" fillId="0" borderId="23" xfId="0" applyNumberFormat="1" applyFont="1" applyBorder="1" applyAlignment="1">
      <alignment horizontal="center" vertical="center"/>
    </xf>
    <xf numFmtId="10" fontId="8" fillId="0" borderId="38" xfId="0" applyNumberFormat="1" applyFont="1" applyBorder="1" applyAlignment="1">
      <alignment horizontal="center" vertical="center"/>
    </xf>
    <xf numFmtId="3" fontId="6" fillId="12" borderId="3" xfId="0" applyNumberFormat="1" applyFont="1" applyFill="1" applyBorder="1" applyAlignment="1">
      <alignment horizontal="center" vertical="center"/>
    </xf>
    <xf numFmtId="0" fontId="21" fillId="0" borderId="27" xfId="0" applyFont="1" applyBorder="1" applyAlignment="1">
      <alignment horizontal="center"/>
    </xf>
    <xf numFmtId="3" fontId="35" fillId="17" borderId="33" xfId="0" applyNumberFormat="1" applyFont="1" applyFill="1" applyBorder="1" applyAlignment="1">
      <alignment horizontal="center"/>
    </xf>
    <xf numFmtId="3" fontId="35" fillId="17" borderId="34" xfId="0" applyNumberFormat="1" applyFont="1" applyFill="1" applyBorder="1" applyAlignment="1">
      <alignment horizontal="center"/>
    </xf>
    <xf numFmtId="3" fontId="35" fillId="17" borderId="35" xfId="0" applyNumberFormat="1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3" fontId="13" fillId="0" borderId="0" xfId="0" applyNumberFormat="1" applyFont="1" applyAlignment="1">
      <alignment horizontal="center" vertical="center" wrapText="1"/>
    </xf>
    <xf numFmtId="10" fontId="17" fillId="0" borderId="0" xfId="3" applyNumberFormat="1" applyFont="1" applyAlignment="1">
      <alignment horizontal="justify" vertical="center" wrapText="1"/>
    </xf>
    <xf numFmtId="3" fontId="14" fillId="0" borderId="0" xfId="0" applyNumberFormat="1" applyFont="1" applyAlignment="1">
      <alignment horizontal="center" vertical="center" wrapText="1"/>
    </xf>
    <xf numFmtId="0" fontId="24" fillId="10" borderId="2" xfId="0" applyFont="1" applyFill="1" applyBorder="1" applyAlignment="1">
      <alignment horizontal="center" wrapText="1"/>
    </xf>
    <xf numFmtId="0" fontId="24" fillId="10" borderId="3" xfId="0" applyFont="1" applyFill="1" applyBorder="1" applyAlignment="1">
      <alignment horizontal="center"/>
    </xf>
    <xf numFmtId="0" fontId="24" fillId="10" borderId="4" xfId="0" applyFont="1" applyFill="1" applyBorder="1" applyAlignment="1">
      <alignment horizontal="center"/>
    </xf>
    <xf numFmtId="3" fontId="16" fillId="0" borderId="43" xfId="0" applyNumberFormat="1" applyFont="1" applyBorder="1" applyAlignment="1">
      <alignment horizontal="center" vertical="center" shrinkToFit="1"/>
    </xf>
    <xf numFmtId="3" fontId="8" fillId="0" borderId="4" xfId="0" applyNumberFormat="1" applyFont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top" wrapText="1"/>
    </xf>
    <xf numFmtId="164" fontId="0" fillId="0" borderId="6" xfId="0" applyNumberFormat="1" applyBorder="1"/>
    <xf numFmtId="164" fontId="4" fillId="0" borderId="0" xfId="1" applyNumberFormat="1" applyFont="1" applyBorder="1"/>
    <xf numFmtId="17" fontId="32" fillId="23" borderId="8" xfId="0" applyNumberFormat="1" applyFont="1" applyFill="1" applyBorder="1" applyAlignment="1">
      <alignment horizontal="center"/>
    </xf>
    <xf numFmtId="3" fontId="31" fillId="0" borderId="3" xfId="0" applyNumberFormat="1" applyFont="1" applyBorder="1" applyAlignment="1">
      <alignment horizontal="center" vertical="center"/>
    </xf>
    <xf numFmtId="165" fontId="31" fillId="0" borderId="3" xfId="0" applyNumberFormat="1" applyFont="1" applyBorder="1" applyAlignment="1">
      <alignment horizontal="center" vertical="center"/>
    </xf>
    <xf numFmtId="0" fontId="31" fillId="26" borderId="5" xfId="0" applyFont="1" applyFill="1" applyBorder="1"/>
    <xf numFmtId="3" fontId="42" fillId="0" borderId="6" xfId="0" applyNumberFormat="1" applyFont="1" applyBorder="1" applyAlignment="1">
      <alignment horizontal="center" vertical="center"/>
    </xf>
    <xf numFmtId="165" fontId="42" fillId="0" borderId="6" xfId="0" applyNumberFormat="1" applyFont="1" applyBorder="1" applyAlignment="1">
      <alignment horizontal="center" vertical="center"/>
    </xf>
    <xf numFmtId="164" fontId="42" fillId="0" borderId="6" xfId="0" applyNumberFormat="1" applyFont="1" applyBorder="1" applyAlignment="1">
      <alignment horizontal="center" vertical="center"/>
    </xf>
    <xf numFmtId="164" fontId="41" fillId="0" borderId="3" xfId="0" applyNumberFormat="1" applyFont="1" applyBorder="1"/>
    <xf numFmtId="10" fontId="41" fillId="0" borderId="4" xfId="3" applyNumberFormat="1" applyFont="1" applyBorder="1"/>
    <xf numFmtId="10" fontId="41" fillId="0" borderId="4" xfId="0" applyNumberFormat="1" applyFont="1" applyBorder="1"/>
    <xf numFmtId="164" fontId="46" fillId="0" borderId="6" xfId="0" applyNumberFormat="1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1" fontId="9" fillId="0" borderId="0" xfId="0" applyNumberFormat="1" applyFont="1" applyAlignment="1">
      <alignment horizontal="center" vertical="top" shrinkToFit="1"/>
    </xf>
    <xf numFmtId="10" fontId="1" fillId="0" borderId="4" xfId="3" applyNumberFormat="1" applyFont="1" applyBorder="1"/>
    <xf numFmtId="0" fontId="18" fillId="12" borderId="4" xfId="0" applyFont="1" applyFill="1" applyBorder="1" applyAlignment="1">
      <alignment horizontal="center" vertical="center"/>
    </xf>
    <xf numFmtId="0" fontId="24" fillId="14" borderId="8" xfId="0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25" fillId="12" borderId="10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41" fontId="36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27" fillId="5" borderId="6" xfId="0" applyFont="1" applyFill="1" applyBorder="1" applyAlignment="1">
      <alignment horizontal="center" vertical="center"/>
    </xf>
    <xf numFmtId="0" fontId="19" fillId="12" borderId="7" xfId="0" applyFont="1" applyFill="1" applyBorder="1" applyAlignment="1">
      <alignment horizontal="center" vertical="center"/>
    </xf>
    <xf numFmtId="3" fontId="22" fillId="0" borderId="0" xfId="0" applyNumberFormat="1" applyFont="1"/>
    <xf numFmtId="164" fontId="47" fillId="0" borderId="3" xfId="0" applyNumberFormat="1" applyFont="1" applyBorder="1"/>
    <xf numFmtId="10" fontId="47" fillId="0" borderId="4" xfId="3" applyNumberFormat="1" applyFont="1" applyBorder="1"/>
    <xf numFmtId="0" fontId="4" fillId="0" borderId="2" xfId="0" applyFont="1" applyBorder="1"/>
    <xf numFmtId="3" fontId="4" fillId="0" borderId="4" xfId="0" applyNumberFormat="1" applyFont="1" applyBorder="1"/>
    <xf numFmtId="0" fontId="4" fillId="12" borderId="5" xfId="0" applyFont="1" applyFill="1" applyBorder="1" applyAlignment="1">
      <alignment horizontal="center" vertical="center" wrapText="1"/>
    </xf>
    <xf numFmtId="3" fontId="4" fillId="12" borderId="7" xfId="0" applyNumberFormat="1" applyFont="1" applyFill="1" applyBorder="1"/>
    <xf numFmtId="3" fontId="16" fillId="12" borderId="52" xfId="0" applyNumberFormat="1" applyFont="1" applyFill="1" applyBorder="1" applyAlignment="1">
      <alignment horizontal="center" vertical="top" shrinkToFit="1"/>
    </xf>
    <xf numFmtId="0" fontId="25" fillId="12" borderId="23" xfId="0" applyFont="1" applyFill="1" applyBorder="1" applyAlignment="1">
      <alignment horizontal="center" vertical="center" wrapText="1"/>
    </xf>
    <xf numFmtId="1" fontId="49" fillId="0" borderId="0" xfId="0" applyNumberFormat="1" applyFont="1" applyAlignment="1">
      <alignment vertical="top" shrinkToFit="1"/>
    </xf>
    <xf numFmtId="3" fontId="9" fillId="0" borderId="3" xfId="0" applyNumberFormat="1" applyFont="1" applyBorder="1" applyAlignment="1">
      <alignment horizontal="center" vertical="center" shrinkToFit="1"/>
    </xf>
    <xf numFmtId="0" fontId="6" fillId="9" borderId="8" xfId="0" applyFont="1" applyFill="1" applyBorder="1" applyAlignment="1">
      <alignment horizontal="center" vertical="center" wrapText="1"/>
    </xf>
    <xf numFmtId="3" fontId="8" fillId="0" borderId="7" xfId="0" applyNumberFormat="1" applyFont="1" applyBorder="1" applyAlignment="1">
      <alignment horizontal="center" vertical="center" wrapText="1"/>
    </xf>
    <xf numFmtId="165" fontId="42" fillId="0" borderId="3" xfId="0" applyNumberFormat="1" applyFont="1" applyBorder="1" applyAlignment="1">
      <alignment horizontal="center" vertical="center"/>
    </xf>
    <xf numFmtId="3" fontId="22" fillId="0" borderId="22" xfId="0" applyNumberFormat="1" applyFont="1" applyBorder="1"/>
    <xf numFmtId="0" fontId="21" fillId="17" borderId="33" xfId="0" applyFont="1" applyFill="1" applyBorder="1" applyAlignment="1">
      <alignment horizontal="center" vertical="center"/>
    </xf>
    <xf numFmtId="0" fontId="21" fillId="17" borderId="34" xfId="0" applyFont="1" applyFill="1" applyBorder="1" applyAlignment="1">
      <alignment horizontal="center" vertical="center"/>
    </xf>
    <xf numFmtId="0" fontId="21" fillId="17" borderId="35" xfId="0" applyFont="1" applyFill="1" applyBorder="1" applyAlignment="1">
      <alignment horizontal="center" vertical="center"/>
    </xf>
    <xf numFmtId="3" fontId="22" fillId="0" borderId="58" xfId="0" applyNumberFormat="1" applyFont="1" applyBorder="1"/>
    <xf numFmtId="3" fontId="22" fillId="0" borderId="44" xfId="0" applyNumberFormat="1" applyFont="1" applyBorder="1"/>
    <xf numFmtId="0" fontId="22" fillId="13" borderId="53" xfId="0" applyFont="1" applyFill="1" applyBorder="1"/>
    <xf numFmtId="0" fontId="22" fillId="13" borderId="59" xfId="0" applyFont="1" applyFill="1" applyBorder="1"/>
    <xf numFmtId="0" fontId="22" fillId="13" borderId="60" xfId="0" applyFont="1" applyFill="1" applyBorder="1"/>
    <xf numFmtId="3" fontId="22" fillId="0" borderId="61" xfId="0" applyNumberFormat="1" applyFont="1" applyBorder="1"/>
    <xf numFmtId="3" fontId="22" fillId="0" borderId="30" xfId="0" applyNumberFormat="1" applyFont="1" applyBorder="1"/>
    <xf numFmtId="0" fontId="21" fillId="12" borderId="52" xfId="0" applyFont="1" applyFill="1" applyBorder="1"/>
    <xf numFmtId="3" fontId="21" fillId="12" borderId="62" xfId="0" applyNumberFormat="1" applyFont="1" applyFill="1" applyBorder="1"/>
    <xf numFmtId="3" fontId="21" fillId="12" borderId="34" xfId="0" applyNumberFormat="1" applyFont="1" applyFill="1" applyBorder="1"/>
    <xf numFmtId="0" fontId="15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31" fillId="0" borderId="0" xfId="0" applyFont="1"/>
    <xf numFmtId="164" fontId="47" fillId="0" borderId="0" xfId="0" applyNumberFormat="1" applyFont="1" applyAlignment="1">
      <alignment horizontal="center"/>
    </xf>
    <xf numFmtId="10" fontId="47" fillId="0" borderId="0" xfId="3" applyNumberFormat="1" applyFont="1" applyFill="1" applyBorder="1" applyAlignment="1">
      <alignment horizontal="center"/>
    </xf>
    <xf numFmtId="3" fontId="4" fillId="0" borderId="0" xfId="0" applyNumberFormat="1" applyFont="1" applyAlignment="1">
      <alignment horizontal="center"/>
    </xf>
    <xf numFmtId="42" fontId="4" fillId="0" borderId="0" xfId="12" applyFont="1" applyFill="1" applyBorder="1" applyAlignment="1">
      <alignment horizontal="center"/>
    </xf>
    <xf numFmtId="42" fontId="48" fillId="0" borderId="0" xfId="12" applyFont="1" applyFill="1" applyBorder="1" applyAlignment="1">
      <alignment horizontal="center"/>
    </xf>
    <xf numFmtId="3" fontId="48" fillId="0" borderId="0" xfId="0" applyNumberFormat="1" applyFont="1" applyAlignment="1">
      <alignment horizontal="center"/>
    </xf>
    <xf numFmtId="3" fontId="47" fillId="0" borderId="0" xfId="0" applyNumberFormat="1" applyFont="1" applyAlignment="1">
      <alignment horizontal="center"/>
    </xf>
    <xf numFmtId="9" fontId="49" fillId="0" borderId="0" xfId="3" applyFont="1" applyAlignment="1">
      <alignment vertical="top" shrinkToFit="1"/>
    </xf>
    <xf numFmtId="0" fontId="6" fillId="12" borderId="24" xfId="0" applyFont="1" applyFill="1" applyBorder="1" applyAlignment="1">
      <alignment horizontal="center" vertical="center"/>
    </xf>
    <xf numFmtId="3" fontId="6" fillId="12" borderId="23" xfId="0" applyNumberFormat="1" applyFont="1" applyFill="1" applyBorder="1" applyAlignment="1">
      <alignment horizontal="center" vertical="center"/>
    </xf>
    <xf numFmtId="0" fontId="24" fillId="14" borderId="2" xfId="0" applyFont="1" applyFill="1" applyBorder="1" applyAlignment="1">
      <alignment horizontal="center" vertical="center" wrapText="1"/>
    </xf>
    <xf numFmtId="0" fontId="25" fillId="12" borderId="4" xfId="0" applyFont="1" applyFill="1" applyBorder="1" applyAlignment="1">
      <alignment horizontal="center" vertical="center" wrapText="1"/>
    </xf>
    <xf numFmtId="0" fontId="18" fillId="14" borderId="2" xfId="0" applyFont="1" applyFill="1" applyBorder="1" applyAlignment="1">
      <alignment horizontal="left" vertical="top"/>
    </xf>
    <xf numFmtId="0" fontId="26" fillId="16" borderId="42" xfId="0" applyFont="1" applyFill="1" applyBorder="1" applyAlignment="1">
      <alignment horizontal="center" vertical="center" wrapText="1"/>
    </xf>
    <xf numFmtId="0" fontId="36" fillId="0" borderId="30" xfId="0" applyFont="1" applyBorder="1" applyAlignment="1">
      <alignment horizontal="center" vertical="center"/>
    </xf>
    <xf numFmtId="10" fontId="19" fillId="12" borderId="34" xfId="0" applyNumberFormat="1" applyFont="1" applyFill="1" applyBorder="1" applyAlignment="1">
      <alignment horizontal="center" vertical="center"/>
    </xf>
    <xf numFmtId="41" fontId="36" fillId="12" borderId="35" xfId="1" applyFont="1" applyFill="1" applyBorder="1" applyAlignment="1">
      <alignment horizontal="center" vertical="center"/>
    </xf>
    <xf numFmtId="0" fontId="50" fillId="12" borderId="33" xfId="0" applyFont="1" applyFill="1" applyBorder="1" applyAlignment="1">
      <alignment horizontal="left" vertical="top" wrapText="1"/>
    </xf>
    <xf numFmtId="42" fontId="0" fillId="0" borderId="0" xfId="12" applyFont="1"/>
    <xf numFmtId="3" fontId="22" fillId="0" borderId="23" xfId="0" applyNumberFormat="1" applyFont="1" applyBorder="1"/>
    <xf numFmtId="3" fontId="21" fillId="12" borderId="35" xfId="0" applyNumberFormat="1" applyFont="1" applyFill="1" applyBorder="1"/>
    <xf numFmtId="0" fontId="41" fillId="0" borderId="7" xfId="0" applyFont="1" applyBorder="1"/>
    <xf numFmtId="10" fontId="4" fillId="0" borderId="0" xfId="3" applyNumberFormat="1" applyFont="1"/>
    <xf numFmtId="0" fontId="42" fillId="12" borderId="5" xfId="0" applyFont="1" applyFill="1" applyBorder="1" applyAlignment="1">
      <alignment horizontal="center" vertical="center" wrapText="1"/>
    </xf>
    <xf numFmtId="0" fontId="6" fillId="7" borderId="33" xfId="0" applyFont="1" applyFill="1" applyBorder="1" applyAlignment="1">
      <alignment horizontal="left" vertical="top" wrapText="1"/>
    </xf>
    <xf numFmtId="3" fontId="6" fillId="7" borderId="35" xfId="2" applyNumberFormat="1" applyFont="1" applyFill="1" applyBorder="1" applyAlignment="1">
      <alignment horizontal="center" vertical="top" wrapText="1"/>
    </xf>
    <xf numFmtId="10" fontId="49" fillId="0" borderId="38" xfId="0" applyNumberFormat="1" applyFont="1" applyBorder="1" applyAlignment="1">
      <alignment horizontal="center" vertical="center"/>
    </xf>
    <xf numFmtId="0" fontId="24" fillId="14" borderId="33" xfId="0" applyFont="1" applyFill="1" applyBorder="1" applyAlignment="1">
      <alignment horizontal="center" vertical="center" wrapText="1"/>
    </xf>
    <xf numFmtId="3" fontId="34" fillId="0" borderId="15" xfId="0" applyNumberFormat="1" applyFont="1" applyBorder="1" applyAlignment="1">
      <alignment horizontal="center" vertical="center" wrapText="1"/>
    </xf>
    <xf numFmtId="10" fontId="47" fillId="0" borderId="4" xfId="0" applyNumberFormat="1" applyFont="1" applyBorder="1"/>
    <xf numFmtId="164" fontId="51" fillId="0" borderId="6" xfId="0" applyNumberFormat="1" applyFont="1" applyBorder="1" applyAlignment="1">
      <alignment horizontal="center" vertical="center"/>
    </xf>
    <xf numFmtId="3" fontId="6" fillId="29" borderId="50" xfId="2" applyNumberFormat="1" applyFont="1" applyFill="1" applyBorder="1" applyAlignment="1">
      <alignment horizontal="center" vertical="top" wrapText="1"/>
    </xf>
    <xf numFmtId="3" fontId="6" fillId="29" borderId="55" xfId="2" applyNumberFormat="1" applyFont="1" applyFill="1" applyBorder="1" applyAlignment="1">
      <alignment horizontal="center" vertical="top" wrapText="1"/>
    </xf>
    <xf numFmtId="0" fontId="8" fillId="15" borderId="8" xfId="0" applyFont="1" applyFill="1" applyBorder="1" applyAlignment="1">
      <alignment horizontal="left" vertical="top" wrapText="1"/>
    </xf>
    <xf numFmtId="0" fontId="8" fillId="15" borderId="9" xfId="0" applyFont="1" applyFill="1" applyBorder="1" applyAlignment="1">
      <alignment horizontal="left" vertical="top" wrapText="1"/>
    </xf>
    <xf numFmtId="3" fontId="8" fillId="15" borderId="9" xfId="0" applyNumberFormat="1" applyFont="1" applyFill="1" applyBorder="1" applyAlignment="1">
      <alignment horizontal="center" vertical="center" wrapText="1"/>
    </xf>
    <xf numFmtId="3" fontId="8" fillId="15" borderId="10" xfId="0" applyNumberFormat="1" applyFont="1" applyFill="1" applyBorder="1" applyAlignment="1">
      <alignment horizontal="center" vertical="center" wrapText="1"/>
    </xf>
    <xf numFmtId="0" fontId="8" fillId="15" borderId="5" xfId="0" applyFont="1" applyFill="1" applyBorder="1" applyAlignment="1">
      <alignment horizontal="left" vertical="top" wrapText="1"/>
    </xf>
    <xf numFmtId="0" fontId="8" fillId="15" borderId="6" xfId="0" applyFont="1" applyFill="1" applyBorder="1" applyAlignment="1">
      <alignment horizontal="left" vertical="top" wrapText="1"/>
    </xf>
    <xf numFmtId="3" fontId="8" fillId="15" borderId="6" xfId="0" applyNumberFormat="1" applyFont="1" applyFill="1" applyBorder="1" applyAlignment="1">
      <alignment horizontal="center" vertical="center" wrapText="1"/>
    </xf>
    <xf numFmtId="3" fontId="8" fillId="15" borderId="7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3" fontId="8" fillId="0" borderId="9" xfId="0" applyNumberFormat="1" applyFont="1" applyBorder="1" applyAlignment="1">
      <alignment horizontal="center" vertical="center" wrapText="1"/>
    </xf>
    <xf numFmtId="3" fontId="8" fillId="0" borderId="10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3" fontId="8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52" fillId="17" borderId="33" xfId="3" applyNumberFormat="1" applyFont="1" applyFill="1" applyBorder="1" applyAlignment="1">
      <alignment horizontal="center"/>
    </xf>
    <xf numFmtId="10" fontId="53" fillId="12" borderId="38" xfId="0" applyNumberFormat="1" applyFont="1" applyFill="1" applyBorder="1" applyAlignment="1">
      <alignment horizontal="center" vertical="center"/>
    </xf>
    <xf numFmtId="3" fontId="9" fillId="0" borderId="4" xfId="0" applyNumberFormat="1" applyFont="1" applyBorder="1" applyAlignment="1">
      <alignment horizontal="center" vertical="center" shrinkToFit="1"/>
    </xf>
    <xf numFmtId="164" fontId="54" fillId="0" borderId="6" xfId="0" applyNumberFormat="1" applyFont="1" applyBorder="1" applyAlignment="1">
      <alignment horizontal="center" vertical="center"/>
    </xf>
    <xf numFmtId="17" fontId="0" fillId="6" borderId="14" xfId="0" applyNumberFormat="1" applyFill="1" applyBorder="1"/>
    <xf numFmtId="0" fontId="4" fillId="0" borderId="56" xfId="0" applyFont="1" applyBorder="1" applyAlignment="1">
      <alignment horizontal="right" vertical="center"/>
    </xf>
    <xf numFmtId="3" fontId="4" fillId="0" borderId="32" xfId="0" applyNumberFormat="1" applyFont="1" applyBorder="1" applyAlignment="1">
      <alignment horizontal="center"/>
    </xf>
    <xf numFmtId="164" fontId="4" fillId="0" borderId="55" xfId="1" applyNumberFormat="1" applyFont="1" applyBorder="1"/>
    <xf numFmtId="10" fontId="3" fillId="0" borderId="7" xfId="3" applyNumberFormat="1" applyFont="1" applyBorder="1"/>
    <xf numFmtId="0" fontId="23" fillId="8" borderId="2" xfId="0" applyFont="1" applyFill="1" applyBorder="1" applyAlignment="1">
      <alignment horizontal="center" vertical="center"/>
    </xf>
    <xf numFmtId="0" fontId="23" fillId="8" borderId="3" xfId="0" applyFont="1" applyFill="1" applyBorder="1" applyAlignment="1">
      <alignment horizontal="center" vertical="center"/>
    </xf>
    <xf numFmtId="0" fontId="23" fillId="8" borderId="3" xfId="0" applyFont="1" applyFill="1" applyBorder="1" applyAlignment="1">
      <alignment horizontal="center" vertical="center" wrapText="1"/>
    </xf>
    <xf numFmtId="49" fontId="23" fillId="8" borderId="3" xfId="0" applyNumberFormat="1" applyFont="1" applyFill="1" applyBorder="1" applyAlignment="1">
      <alignment horizontal="center" vertical="center" wrapText="1"/>
    </xf>
    <xf numFmtId="49" fontId="23" fillId="8" borderId="4" xfId="0" applyNumberFormat="1" applyFont="1" applyFill="1" applyBorder="1" applyAlignment="1">
      <alignment horizontal="center" vertical="center" wrapText="1"/>
    </xf>
    <xf numFmtId="0" fontId="40" fillId="24" borderId="28" xfId="0" applyFont="1" applyFill="1" applyBorder="1"/>
    <xf numFmtId="0" fontId="40" fillId="24" borderId="29" xfId="0" applyFont="1" applyFill="1" applyBorder="1"/>
    <xf numFmtId="0" fontId="45" fillId="0" borderId="36" xfId="0" applyFont="1" applyBorder="1" applyAlignment="1">
      <alignment wrapText="1"/>
    </xf>
    <xf numFmtId="0" fontId="45" fillId="0" borderId="15" xfId="0" applyFont="1" applyBorder="1" applyAlignment="1">
      <alignment wrapText="1"/>
    </xf>
    <xf numFmtId="0" fontId="31" fillId="0" borderId="11" xfId="0" applyFont="1" applyBorder="1"/>
    <xf numFmtId="0" fontId="31" fillId="0" borderId="12" xfId="0" applyFont="1" applyBorder="1"/>
    <xf numFmtId="0" fontId="31" fillId="0" borderId="13" xfId="0" applyFont="1" applyBorder="1"/>
    <xf numFmtId="3" fontId="25" fillId="25" borderId="37" xfId="0" applyNumberFormat="1" applyFont="1" applyFill="1" applyBorder="1"/>
    <xf numFmtId="3" fontId="25" fillId="25" borderId="38" xfId="0" applyNumberFormat="1" applyFont="1" applyFill="1" applyBorder="1"/>
    <xf numFmtId="0" fontId="2" fillId="27" borderId="28" xfId="0" applyFont="1" applyFill="1" applyBorder="1"/>
    <xf numFmtId="0" fontId="2" fillId="27" borderId="29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20" fillId="28" borderId="37" xfId="0" applyNumberFormat="1" applyFont="1" applyFill="1" applyBorder="1"/>
    <xf numFmtId="3" fontId="20" fillId="28" borderId="38" xfId="0" applyNumberFormat="1" applyFont="1" applyFill="1" applyBorder="1"/>
    <xf numFmtId="0" fontId="45" fillId="0" borderId="36" xfId="0" applyFont="1" applyBorder="1" applyAlignment="1">
      <alignment vertical="center" wrapText="1"/>
    </xf>
    <xf numFmtId="0" fontId="45" fillId="0" borderId="15" xfId="0" applyFont="1" applyBorder="1" applyAlignment="1">
      <alignment vertical="center" wrapText="1"/>
    </xf>
    <xf numFmtId="9" fontId="0" fillId="0" borderId="0" xfId="3" applyFont="1"/>
    <xf numFmtId="10" fontId="0" fillId="0" borderId="63" xfId="3" applyNumberFormat="1" applyFont="1" applyBorder="1"/>
    <xf numFmtId="10" fontId="3" fillId="0" borderId="63" xfId="3" applyNumberFormat="1" applyFont="1" applyBorder="1"/>
    <xf numFmtId="165" fontId="0" fillId="0" borderId="3" xfId="0" applyNumberFormat="1" applyBorder="1"/>
    <xf numFmtId="10" fontId="29" fillId="0" borderId="4" xfId="3" applyNumberFormat="1" applyFont="1" applyBorder="1" applyAlignment="1">
      <alignment horizontal="right" vertical="center"/>
    </xf>
    <xf numFmtId="10" fontId="0" fillId="0" borderId="63" xfId="3" applyNumberFormat="1" applyFont="1" applyBorder="1" applyAlignment="1">
      <alignment horizontal="right"/>
    </xf>
    <xf numFmtId="10" fontId="3" fillId="0" borderId="63" xfId="3" applyNumberFormat="1" applyFont="1" applyBorder="1" applyAlignment="1">
      <alignment horizontal="right"/>
    </xf>
    <xf numFmtId="0" fontId="6" fillId="14" borderId="64" xfId="0" applyFont="1" applyFill="1" applyBorder="1" applyAlignment="1">
      <alignment horizontal="center" vertical="center" wrapText="1"/>
    </xf>
    <xf numFmtId="0" fontId="6" fillId="14" borderId="31" xfId="0" applyFont="1" applyFill="1" applyBorder="1" applyAlignment="1">
      <alignment horizontal="center" vertical="center" wrapText="1"/>
    </xf>
    <xf numFmtId="0" fontId="6" fillId="15" borderId="31" xfId="0" applyFont="1" applyFill="1" applyBorder="1" applyAlignment="1">
      <alignment horizontal="center" vertical="center" wrapText="1"/>
    </xf>
    <xf numFmtId="0" fontId="6" fillId="4" borderId="66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left" vertical="top" wrapText="1"/>
    </xf>
    <xf numFmtId="3" fontId="6" fillId="7" borderId="3" xfId="2" applyNumberFormat="1" applyFont="1" applyFill="1" applyBorder="1" applyAlignment="1">
      <alignment horizontal="center" vertical="top" wrapText="1"/>
    </xf>
    <xf numFmtId="0" fontId="24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6" fillId="11" borderId="3" xfId="0" applyFont="1" applyFill="1" applyBorder="1" applyAlignment="1">
      <alignment horizontal="center" vertical="center" wrapText="1"/>
    </xf>
    <xf numFmtId="10" fontId="8" fillId="0" borderId="3" xfId="3" applyNumberFormat="1" applyFont="1" applyBorder="1" applyAlignment="1">
      <alignment horizontal="center" vertical="center" wrapText="1"/>
    </xf>
    <xf numFmtId="0" fontId="8" fillId="0" borderId="65" xfId="0" applyFont="1" applyBorder="1" applyAlignment="1">
      <alignment horizontal="left" vertical="top" wrapText="1"/>
    </xf>
    <xf numFmtId="167" fontId="0" fillId="0" borderId="3" xfId="0" applyNumberFormat="1" applyBorder="1" applyAlignment="1">
      <alignment horizontal="center"/>
    </xf>
    <xf numFmtId="3" fontId="16" fillId="12" borderId="20" xfId="0" applyNumberFormat="1" applyFont="1" applyFill="1" applyBorder="1" applyAlignment="1">
      <alignment horizontal="center" vertical="top" shrinkToFit="1"/>
    </xf>
    <xf numFmtId="0" fontId="6" fillId="14" borderId="3" xfId="0" applyFont="1" applyFill="1" applyBorder="1" applyAlignment="1">
      <alignment horizontal="center" vertical="center" wrapText="1"/>
    </xf>
    <xf numFmtId="0" fontId="6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17" fillId="0" borderId="0" xfId="0" applyNumberFormat="1" applyFont="1" applyAlignment="1">
      <alignment horizontal="center" vertical="center" wrapText="1"/>
    </xf>
    <xf numFmtId="0" fontId="22" fillId="0" borderId="4" xfId="0" applyFont="1" applyBorder="1"/>
    <xf numFmtId="0" fontId="22" fillId="0" borderId="43" xfId="0" applyFont="1" applyBorder="1"/>
    <xf numFmtId="3" fontId="8" fillId="6" borderId="3" xfId="0" applyNumberFormat="1" applyFont="1" applyFill="1" applyBorder="1" applyAlignment="1">
      <alignment horizontal="center"/>
    </xf>
    <xf numFmtId="3" fontId="8" fillId="6" borderId="23" xfId="0" applyNumberFormat="1" applyFont="1" applyFill="1" applyBorder="1" applyAlignment="1">
      <alignment horizontal="center" vertical="center"/>
    </xf>
    <xf numFmtId="10" fontId="49" fillId="6" borderId="38" xfId="0" applyNumberFormat="1" applyFont="1" applyFill="1" applyBorder="1" applyAlignment="1">
      <alignment horizontal="center" vertical="center"/>
    </xf>
    <xf numFmtId="164" fontId="41" fillId="0" borderId="3" xfId="0" applyNumberFormat="1" applyFont="1" applyBorder="1" applyAlignment="1">
      <alignment horizontal="right"/>
    </xf>
    <xf numFmtId="164" fontId="46" fillId="0" borderId="6" xfId="0" applyNumberFormat="1" applyFont="1" applyBorder="1" applyAlignment="1">
      <alignment horizontal="right" vertical="center"/>
    </xf>
    <xf numFmtId="164" fontId="47" fillId="0" borderId="3" xfId="0" applyNumberFormat="1" applyFont="1" applyBorder="1" applyAlignment="1">
      <alignment horizontal="right"/>
    </xf>
    <xf numFmtId="164" fontId="54" fillId="0" borderId="6" xfId="0" applyNumberFormat="1" applyFont="1" applyBorder="1" applyAlignment="1">
      <alignment horizontal="right" vertical="center"/>
    </xf>
    <xf numFmtId="42" fontId="3" fillId="0" borderId="3" xfId="12" applyFon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164" fontId="0" fillId="0" borderId="3" xfId="1" applyNumberFormat="1" applyFont="1" applyBorder="1"/>
    <xf numFmtId="164" fontId="0" fillId="0" borderId="3" xfId="0" applyNumberFormat="1" applyBorder="1" applyAlignment="1">
      <alignment vertical="center"/>
    </xf>
    <xf numFmtId="164" fontId="0" fillId="0" borderId="3" xfId="1" applyNumberFormat="1" applyFont="1" applyBorder="1" applyAlignment="1"/>
    <xf numFmtId="10" fontId="58" fillId="0" borderId="63" xfId="3" applyNumberFormat="1" applyFont="1" applyBorder="1" applyAlignment="1">
      <alignment horizontal="right"/>
    </xf>
    <xf numFmtId="165" fontId="59" fillId="0" borderId="3" xfId="0" applyNumberFormat="1" applyFont="1" applyBorder="1"/>
    <xf numFmtId="3" fontId="4" fillId="0" borderId="3" xfId="0" applyNumberFormat="1" applyFont="1" applyBorder="1" applyAlignment="1">
      <alignment horizontal="center"/>
    </xf>
    <xf numFmtId="9" fontId="4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0" fontId="33" fillId="0" borderId="0" xfId="0" applyFont="1" applyAlignment="1">
      <alignment horizontal="justify" vertical="center" wrapText="1"/>
    </xf>
    <xf numFmtId="3" fontId="39" fillId="0" borderId="0" xfId="0" applyNumberFormat="1" applyFont="1" applyAlignment="1">
      <alignment horizontal="center" vertical="center" wrapText="1"/>
    </xf>
    <xf numFmtId="1" fontId="16" fillId="0" borderId="3" xfId="0" applyNumberFormat="1" applyFont="1" applyBorder="1" applyAlignment="1">
      <alignment horizontal="center" vertical="top" shrinkToFit="1"/>
    </xf>
    <xf numFmtId="9" fontId="17" fillId="0" borderId="3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3" fontId="4" fillId="0" borderId="0" xfId="0" applyNumberFormat="1" applyFont="1"/>
    <xf numFmtId="0" fontId="26" fillId="27" borderId="24" xfId="0" applyFont="1" applyFill="1" applyBorder="1" applyAlignment="1">
      <alignment horizontal="center" wrapText="1"/>
    </xf>
    <xf numFmtId="0" fontId="25" fillId="17" borderId="2" xfId="0" applyFont="1" applyFill="1" applyBorder="1" applyAlignment="1">
      <alignment horizontal="center" wrapText="1"/>
    </xf>
    <xf numFmtId="3" fontId="8" fillId="12" borderId="3" xfId="0" applyNumberFormat="1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20" fillId="8" borderId="8" xfId="0" applyFont="1" applyFill="1" applyBorder="1" applyAlignment="1">
      <alignment horizontal="center" vertical="center" wrapText="1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top" wrapText="1"/>
    </xf>
    <xf numFmtId="0" fontId="6" fillId="6" borderId="63" xfId="0" applyFont="1" applyFill="1" applyBorder="1" applyAlignment="1">
      <alignment horizontal="center" vertical="top" wrapText="1"/>
    </xf>
    <xf numFmtId="0" fontId="6" fillId="6" borderId="14" xfId="0" applyFont="1" applyFill="1" applyBorder="1" applyAlignment="1">
      <alignment horizontal="center" vertical="top" wrapText="1"/>
    </xf>
    <xf numFmtId="0" fontId="6" fillId="6" borderId="17" xfId="0" applyFont="1" applyFill="1" applyBorder="1" applyAlignment="1">
      <alignment horizontal="center" vertical="top" wrapText="1"/>
    </xf>
    <xf numFmtId="0" fontId="20" fillId="8" borderId="11" xfId="0" applyFont="1" applyFill="1" applyBorder="1" applyAlignment="1">
      <alignment horizontal="center" vertical="center" wrapText="1"/>
    </xf>
    <xf numFmtId="0" fontId="20" fillId="8" borderId="12" xfId="0" applyFont="1" applyFill="1" applyBorder="1" applyAlignment="1">
      <alignment horizontal="center" vertical="center" wrapText="1"/>
    </xf>
    <xf numFmtId="0" fontId="20" fillId="8" borderId="13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top" wrapText="1"/>
    </xf>
    <xf numFmtId="0" fontId="6" fillId="6" borderId="46" xfId="0" applyFont="1" applyFill="1" applyBorder="1" applyAlignment="1">
      <alignment horizontal="center" vertical="top" wrapText="1"/>
    </xf>
    <xf numFmtId="0" fontId="6" fillId="6" borderId="16" xfId="0" applyFont="1" applyFill="1" applyBorder="1" applyAlignment="1">
      <alignment horizontal="center" vertical="top" wrapText="1"/>
    </xf>
    <xf numFmtId="0" fontId="6" fillId="12" borderId="53" xfId="0" applyFont="1" applyFill="1" applyBorder="1" applyAlignment="1">
      <alignment horizontal="center" vertical="center" wrapText="1"/>
    </xf>
    <xf numFmtId="0" fontId="6" fillId="12" borderId="54" xfId="0" applyFont="1" applyFill="1" applyBorder="1" applyAlignment="1">
      <alignment horizontal="center" vertical="center" wrapText="1"/>
    </xf>
    <xf numFmtId="3" fontId="16" fillId="12" borderId="50" xfId="0" applyNumberFormat="1" applyFont="1" applyFill="1" applyBorder="1" applyAlignment="1">
      <alignment horizontal="center" vertical="top"/>
    </xf>
    <xf numFmtId="0" fontId="16" fillId="12" borderId="55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center"/>
    </xf>
    <xf numFmtId="0" fontId="6" fillId="12" borderId="67" xfId="0" applyFont="1" applyFill="1" applyBorder="1" applyAlignment="1">
      <alignment horizontal="center" vertical="center" wrapText="1"/>
    </xf>
    <xf numFmtId="0" fontId="6" fillId="12" borderId="56" xfId="0" applyFont="1" applyFill="1" applyBorder="1" applyAlignment="1">
      <alignment horizontal="center" vertical="center" wrapText="1"/>
    </xf>
    <xf numFmtId="0" fontId="6" fillId="29" borderId="48" xfId="0" applyFont="1" applyFill="1" applyBorder="1" applyAlignment="1">
      <alignment horizontal="right" vertical="center" wrapText="1"/>
    </xf>
    <xf numFmtId="0" fontId="6" fillId="29" borderId="23" xfId="0" applyFont="1" applyFill="1" applyBorder="1" applyAlignment="1">
      <alignment horizontal="right" vertical="center" wrapText="1"/>
    </xf>
    <xf numFmtId="0" fontId="6" fillId="29" borderId="5" xfId="0" applyFont="1" applyFill="1" applyBorder="1" applyAlignment="1">
      <alignment horizontal="right" vertical="center" wrapText="1"/>
    </xf>
    <xf numFmtId="0" fontId="6" fillId="29" borderId="7" xfId="0" applyFont="1" applyFill="1" applyBorder="1" applyAlignment="1">
      <alignment horizontal="right" vertical="center" wrapText="1"/>
    </xf>
    <xf numFmtId="3" fontId="17" fillId="29" borderId="16" xfId="0" applyNumberFormat="1" applyFont="1" applyFill="1" applyBorder="1" applyAlignment="1">
      <alignment horizontal="center"/>
    </xf>
    <xf numFmtId="0" fontId="17" fillId="29" borderId="17" xfId="0" applyFont="1" applyFill="1" applyBorder="1" applyAlignment="1">
      <alignment horizontal="center"/>
    </xf>
    <xf numFmtId="0" fontId="57" fillId="12" borderId="27" xfId="0" applyFont="1" applyFill="1" applyBorder="1" applyAlignment="1">
      <alignment horizontal="center"/>
    </xf>
    <xf numFmtId="0" fontId="57" fillId="12" borderId="29" xfId="0" applyFont="1" applyFill="1" applyBorder="1" applyAlignment="1">
      <alignment horizontal="center"/>
    </xf>
    <xf numFmtId="3" fontId="57" fillId="12" borderId="28" xfId="0" applyNumberFormat="1" applyFont="1" applyFill="1" applyBorder="1" applyAlignment="1">
      <alignment horizontal="center"/>
    </xf>
    <xf numFmtId="3" fontId="16" fillId="12" borderId="57" xfId="0" applyNumberFormat="1" applyFont="1" applyFill="1" applyBorder="1" applyAlignment="1">
      <alignment horizontal="center" vertical="top"/>
    </xf>
    <xf numFmtId="0" fontId="16" fillId="12" borderId="17" xfId="0" applyFont="1" applyFill="1" applyBorder="1" applyAlignment="1">
      <alignment horizontal="center" vertical="top"/>
    </xf>
    <xf numFmtId="0" fontId="17" fillId="13" borderId="33" xfId="0" applyFont="1" applyFill="1" applyBorder="1" applyAlignment="1">
      <alignment horizontal="center" vertical="center"/>
    </xf>
    <xf numFmtId="0" fontId="17" fillId="13" borderId="34" xfId="0" applyFont="1" applyFill="1" applyBorder="1" applyAlignment="1">
      <alignment horizontal="center" vertical="center"/>
    </xf>
    <xf numFmtId="0" fontId="17" fillId="13" borderId="35" xfId="0" applyFont="1" applyFill="1" applyBorder="1" applyAlignment="1">
      <alignment horizontal="center" vertical="center"/>
    </xf>
    <xf numFmtId="0" fontId="15" fillId="16" borderId="67" xfId="0" applyFont="1" applyFill="1" applyBorder="1" applyAlignment="1">
      <alignment horizontal="center" vertical="center"/>
    </xf>
    <xf numFmtId="0" fontId="15" fillId="16" borderId="0" xfId="0" applyFont="1" applyFill="1" applyAlignment="1">
      <alignment horizontal="center" vertical="center"/>
    </xf>
    <xf numFmtId="17" fontId="37" fillId="20" borderId="27" xfId="0" applyNumberFormat="1" applyFont="1" applyFill="1" applyBorder="1" applyAlignment="1">
      <alignment horizontal="center" vertical="center" wrapText="1"/>
    </xf>
    <xf numFmtId="0" fontId="37" fillId="20" borderId="28" xfId="0" applyFont="1" applyFill="1" applyBorder="1" applyAlignment="1">
      <alignment horizontal="center" vertical="center" wrapText="1"/>
    </xf>
    <xf numFmtId="0" fontId="37" fillId="20" borderId="29" xfId="0" applyFont="1" applyFill="1" applyBorder="1" applyAlignment="1">
      <alignment horizontal="center" vertical="center" wrapText="1"/>
    </xf>
    <xf numFmtId="0" fontId="42" fillId="12" borderId="13" xfId="0" applyFont="1" applyFill="1" applyBorder="1" applyAlignment="1">
      <alignment horizontal="center" vertical="center" wrapText="1"/>
    </xf>
    <xf numFmtId="0" fontId="42" fillId="12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5" fillId="11" borderId="46" xfId="0" applyFont="1" applyFill="1" applyBorder="1" applyAlignment="1">
      <alignment horizontal="center" vertical="center"/>
    </xf>
    <xf numFmtId="0" fontId="15" fillId="11" borderId="47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20" fillId="16" borderId="39" xfId="0" applyFont="1" applyFill="1" applyBorder="1" applyAlignment="1">
      <alignment horizontal="center" vertical="center"/>
    </xf>
    <xf numFmtId="0" fontId="20" fillId="16" borderId="49" xfId="0" applyFont="1" applyFill="1" applyBorder="1" applyAlignment="1">
      <alignment horizontal="center" vertical="center"/>
    </xf>
    <xf numFmtId="0" fontId="20" fillId="16" borderId="40" xfId="0" applyFont="1" applyFill="1" applyBorder="1" applyAlignment="1">
      <alignment horizontal="center" vertical="center"/>
    </xf>
    <xf numFmtId="0" fontId="15" fillId="16" borderId="19" xfId="0" applyFont="1" applyFill="1" applyBorder="1" applyAlignment="1">
      <alignment horizontal="center" vertical="center"/>
    </xf>
    <xf numFmtId="0" fontId="15" fillId="16" borderId="20" xfId="0" applyFont="1" applyFill="1" applyBorder="1" applyAlignment="1">
      <alignment horizontal="center" vertical="center"/>
    </xf>
    <xf numFmtId="0" fontId="19" fillId="11" borderId="8" xfId="0" applyFont="1" applyFill="1" applyBorder="1" applyAlignment="1">
      <alignment horizontal="center"/>
    </xf>
    <xf numFmtId="0" fontId="19" fillId="11" borderId="9" xfId="0" applyFont="1" applyFill="1" applyBorder="1" applyAlignment="1">
      <alignment horizontal="center"/>
    </xf>
    <xf numFmtId="0" fontId="19" fillId="11" borderId="10" xfId="0" applyFont="1" applyFill="1" applyBorder="1" applyAlignment="1">
      <alignment horizontal="center" vertical="center" wrapText="1"/>
    </xf>
    <xf numFmtId="0" fontId="19" fillId="11" borderId="7" xfId="0" applyFont="1" applyFill="1" applyBorder="1" applyAlignment="1">
      <alignment horizontal="center" vertical="center" wrapText="1"/>
    </xf>
    <xf numFmtId="0" fontId="15" fillId="11" borderId="14" xfId="0" applyFont="1" applyFill="1" applyBorder="1" applyAlignment="1">
      <alignment horizontal="center" vertical="center"/>
    </xf>
    <xf numFmtId="0" fontId="15" fillId="11" borderId="16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2" fillId="8" borderId="11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4" fillId="17" borderId="27" xfId="0" applyFont="1" applyFill="1" applyBorder="1" applyAlignment="1">
      <alignment horizontal="center"/>
    </xf>
    <xf numFmtId="0" fontId="4" fillId="17" borderId="28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0" fillId="8" borderId="11" xfId="0" applyFont="1" applyFill="1" applyBorder="1" applyAlignment="1">
      <alignment horizontal="center" vertical="center" wrapText="1"/>
    </xf>
    <xf numFmtId="0" fontId="40" fillId="8" borderId="13" xfId="0" applyFont="1" applyFill="1" applyBorder="1" applyAlignment="1">
      <alignment horizontal="center" vertical="center" wrapText="1"/>
    </xf>
    <xf numFmtId="0" fontId="40" fillId="24" borderId="27" xfId="0" applyFont="1" applyFill="1" applyBorder="1" applyAlignment="1">
      <alignment horizontal="center"/>
    </xf>
    <xf numFmtId="0" fontId="40" fillId="24" borderId="28" xfId="0" applyFont="1" applyFill="1" applyBorder="1" applyAlignment="1">
      <alignment horizontal="center"/>
    </xf>
    <xf numFmtId="0" fontId="45" fillId="0" borderId="26" xfId="0" applyFont="1" applyBorder="1" applyAlignment="1">
      <alignment horizontal="center" wrapText="1"/>
    </xf>
    <xf numFmtId="0" fontId="45" fillId="0" borderId="36" xfId="0" applyFont="1" applyBorder="1" applyAlignment="1">
      <alignment horizontal="center" wrapText="1"/>
    </xf>
    <xf numFmtId="0" fontId="2" fillId="27" borderId="27" xfId="0" applyFont="1" applyFill="1" applyBorder="1" applyAlignment="1">
      <alignment horizontal="center"/>
    </xf>
    <xf numFmtId="0" fontId="2" fillId="27" borderId="28" xfId="0" applyFont="1" applyFill="1" applyBorder="1" applyAlignment="1">
      <alignment horizontal="center"/>
    </xf>
    <xf numFmtId="3" fontId="20" fillId="28" borderId="24" xfId="0" applyNumberFormat="1" applyFont="1" applyFill="1" applyBorder="1" applyAlignment="1">
      <alignment horizontal="center"/>
    </xf>
    <xf numFmtId="3" fontId="20" fillId="28" borderId="37" xfId="0" applyNumberFormat="1" applyFont="1" applyFill="1" applyBorder="1" applyAlignment="1">
      <alignment horizontal="center"/>
    </xf>
    <xf numFmtId="3" fontId="25" fillId="25" borderId="24" xfId="0" applyNumberFormat="1" applyFont="1" applyFill="1" applyBorder="1" applyAlignment="1">
      <alignment horizontal="center"/>
    </xf>
    <xf numFmtId="3" fontId="25" fillId="25" borderId="37" xfId="0" applyNumberFormat="1" applyFont="1" applyFill="1" applyBorder="1" applyAlignment="1">
      <alignment horizontal="center"/>
    </xf>
    <xf numFmtId="0" fontId="40" fillId="10" borderId="11" xfId="0" applyFont="1" applyFill="1" applyBorder="1" applyAlignment="1">
      <alignment horizontal="center"/>
    </xf>
    <xf numFmtId="0" fontId="40" fillId="10" borderId="12" xfId="0" applyFont="1" applyFill="1" applyBorder="1" applyAlignment="1">
      <alignment horizontal="center"/>
    </xf>
    <xf numFmtId="0" fontId="40" fillId="10" borderId="13" xfId="0" applyFont="1" applyFill="1" applyBorder="1" applyAlignment="1">
      <alignment horizontal="center"/>
    </xf>
    <xf numFmtId="3" fontId="19" fillId="2" borderId="25" xfId="0" applyNumberFormat="1" applyFont="1" applyFill="1" applyBorder="1" applyAlignment="1">
      <alignment horizontal="center"/>
    </xf>
    <xf numFmtId="3" fontId="19" fillId="2" borderId="37" xfId="0" applyNumberFormat="1" applyFont="1" applyFill="1" applyBorder="1" applyAlignment="1">
      <alignment horizontal="center"/>
    </xf>
    <xf numFmtId="3" fontId="19" fillId="2" borderId="38" xfId="0" applyNumberFormat="1" applyFont="1" applyFill="1" applyBorder="1" applyAlignment="1">
      <alignment horizontal="center"/>
    </xf>
    <xf numFmtId="0" fontId="45" fillId="0" borderId="26" xfId="0" applyFont="1" applyBorder="1" applyAlignment="1">
      <alignment horizontal="center" vertical="center" wrapText="1"/>
    </xf>
    <xf numFmtId="0" fontId="45" fillId="0" borderId="36" xfId="0" applyFont="1" applyBorder="1" applyAlignment="1">
      <alignment horizontal="center" vertical="center" wrapText="1"/>
    </xf>
    <xf numFmtId="0" fontId="45" fillId="0" borderId="15" xfId="0" applyFont="1" applyBorder="1" applyAlignment="1">
      <alignment horizontal="center" wrapText="1"/>
    </xf>
    <xf numFmtId="3" fontId="20" fillId="28" borderId="25" xfId="0" applyNumberFormat="1" applyFont="1" applyFill="1" applyBorder="1" applyAlignment="1">
      <alignment horizontal="center"/>
    </xf>
    <xf numFmtId="0" fontId="27" fillId="10" borderId="11" xfId="0" applyFont="1" applyFill="1" applyBorder="1" applyAlignment="1">
      <alignment horizontal="center" vertical="center"/>
    </xf>
    <xf numFmtId="0" fontId="27" fillId="10" borderId="12" xfId="0" applyFont="1" applyFill="1" applyBorder="1" applyAlignment="1">
      <alignment horizontal="center" vertical="center"/>
    </xf>
    <xf numFmtId="0" fontId="27" fillId="10" borderId="13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7" fillId="8" borderId="11" xfId="0" applyFont="1" applyFill="1" applyBorder="1" applyAlignment="1">
      <alignment horizontal="center" vertical="center"/>
    </xf>
    <xf numFmtId="0" fontId="27" fillId="8" borderId="12" xfId="0" applyFont="1" applyFill="1" applyBorder="1" applyAlignment="1">
      <alignment horizontal="center" vertical="center"/>
    </xf>
    <xf numFmtId="0" fontId="27" fillId="8" borderId="13" xfId="0" applyFont="1" applyFill="1" applyBorder="1" applyAlignment="1">
      <alignment horizontal="center" vertic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 NACIONALES LLEGADOS POR AEROLINEA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9340448741773064"/>
          <c:y val="3.17022089534561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9266019722611692E-2"/>
          <c:y val="0.16138930755771091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53E2-4040-A1DE-F57261AC924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53E2-4040-A1DE-F57261AC924D}"/>
              </c:ext>
            </c:extLst>
          </c:dPt>
          <c:dLbls>
            <c:dLbl>
              <c:idx val="0"/>
              <c:layout>
                <c:manualLayout>
                  <c:x val="-0.2235938595774157"/>
                  <c:y val="-0.14312710617658209"/>
                </c:manualLayout>
              </c:layout>
              <c:tx>
                <c:rich>
                  <a:bodyPr/>
                  <a:lstStyle/>
                  <a:p>
                    <a:fld id="{B79B82EC-316C-40A9-8C25-DFB9EA94E6EE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61F538DA-CB43-4F40-AEC7-BC320B0856F2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layout>
                <c:manualLayout>
                  <c:x val="0.16233764701111289"/>
                  <c:y val="-9.3939623294336444E-2"/>
                </c:manualLayout>
              </c:layout>
              <c:tx>
                <c:rich>
                  <a:bodyPr/>
                  <a:lstStyle/>
                  <a:p>
                    <a:fld id="{A0B40D52-16AC-4AFD-BB0B-35C6433C88C2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D3D5018B-016D-429F-AE8A-278AEF009B77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layout>
                <c:manualLayout>
                  <c:x val="6.0438408590420593E-2"/>
                  <c:y val="5.5156456112276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layout>
                <c:manualLayout>
                  <c:x val="3.5669325281459052E-2"/>
                  <c:y val="6.76675388707480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'!$B$47:$B$52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'!$C$47:$C$52</c:f>
              <c:numCache>
                <c:formatCode>#,##0</c:formatCode>
                <c:ptCount val="6"/>
                <c:pt idx="0">
                  <c:v>70331</c:v>
                </c:pt>
                <c:pt idx="1">
                  <c:v>24789</c:v>
                </c:pt>
                <c:pt idx="2">
                  <c:v>14470</c:v>
                </c:pt>
                <c:pt idx="3">
                  <c:v>2978</c:v>
                </c:pt>
                <c:pt idx="4">
                  <c:v>113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PASAJEROS INTERNACIONALES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</a:rPr>
              <a:t>LLEGADOS </a:t>
            </a: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POR AEROLINEA</a:t>
            </a:r>
            <a:endParaRPr lang="es-CO" sz="10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390760130510687"/>
          <c:y val="3.9004114672042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'!$C$56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80E7-4C4E-A579-0C6F5E94F98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F7C-41E3-B699-E30ADD3E0C17}"/>
              </c:ext>
            </c:extLst>
          </c:dPt>
          <c:dLbls>
            <c:dLbl>
              <c:idx val="0"/>
              <c:layout>
                <c:manualLayout>
                  <c:x val="-0.10177312179711585"/>
                  <c:y val="-0.31189075383440562"/>
                </c:manualLayout>
              </c:layout>
              <c:tx>
                <c:rich>
                  <a:bodyPr/>
                  <a:lstStyle/>
                  <a:p>
                    <a:fld id="{63F2525E-923A-4DCC-B02F-3D70ECD758A8}" type="CATEGORYNAME">
                      <a:rPr lang="en-US" sz="1200"/>
                      <a:pPr/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/>
                      <a:t>[PORCENTAJE]</a:t>
                    </a:fld>
                    <a:endParaRPr lang="en-US" sz="1200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9168557197824"/>
                      <c:h val="0.13789902395322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'!$B$57:$B$59</c:f>
              <c:strCache>
                <c:ptCount val="3"/>
                <c:pt idx="0">
                  <c:v>COPA</c:v>
                </c:pt>
                <c:pt idx="1">
                  <c:v>AVIANCA</c:v>
                </c:pt>
                <c:pt idx="2">
                  <c:v>GENERAL</c:v>
                </c:pt>
              </c:strCache>
            </c:strRef>
          </c:cat>
          <c:val>
            <c:numRef>
              <c:f>'ESTADISTICAS AEROLINEAS '!$C$57:$C$59</c:f>
              <c:numCache>
                <c:formatCode>#,##0</c:formatCode>
                <c:ptCount val="3"/>
                <c:pt idx="0">
                  <c:v>8948</c:v>
                </c:pt>
                <c:pt idx="1">
                  <c:v>2270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ysClr val="windowText" lastClr="000000"/>
                </a:solidFill>
              </a:rPr>
              <a:t>PASAJEROS</a:t>
            </a:r>
            <a:r>
              <a:rPr lang="es-CO" sz="1000" baseline="0">
                <a:solidFill>
                  <a:sysClr val="windowText" lastClr="000000"/>
                </a:solidFill>
              </a:rPr>
              <a:t> INTERNACIONALES SALIDOS POR AEROLINEAS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957539639114286"/>
          <c:y val="0.14874707221533678"/>
          <c:w val="0.52237509387915415"/>
          <c:h val="0.73763027517206858"/>
        </c:manualLayout>
      </c:layout>
      <c:pieChart>
        <c:varyColors val="1"/>
        <c:ser>
          <c:idx val="0"/>
          <c:order val="0"/>
          <c:explosion val="6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4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71DD-45A1-A03D-C13F12CC314B}"/>
              </c:ext>
            </c:extLst>
          </c:dPt>
          <c:dPt>
            <c:idx val="5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D442-46CF-B0FF-D60E12C59B27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ysClr val="windowText" lastClr="000000"/>
                        </a:solidFill>
                      </a:rPr>
                      <a:t>AVIANCA </a:t>
                    </a:r>
                    <a:fld id="{BFE43635-BE36-43F4-8EC5-CE64F2538A87}" type="PERCENTAGE">
                      <a:rPr lang="en-US">
                        <a:solidFill>
                          <a:sysClr val="windowText" lastClr="000000"/>
                        </a:solidFill>
                      </a:rPr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layout>
                <c:manualLayout>
                  <c:x val="2.4452433777970184E-2"/>
                  <c:y val="2.675630801740836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'!$B$25:$B$30</c:f>
              <c:strCache>
                <c:ptCount val="6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JETSMART</c:v>
                </c:pt>
                <c:pt idx="4">
                  <c:v>AVIACIÓN GENERAL</c:v>
                </c:pt>
                <c:pt idx="5">
                  <c:v>AVIACION ESTATAL</c:v>
                </c:pt>
              </c:strCache>
            </c:strRef>
          </c:cat>
          <c:val>
            <c:numRef>
              <c:f>'ESTADISTICAS AEROLINEAS '!$C$25:$C$30</c:f>
              <c:numCache>
                <c:formatCode>#,##0</c:formatCode>
                <c:ptCount val="6"/>
                <c:pt idx="0">
                  <c:v>24131</c:v>
                </c:pt>
                <c:pt idx="1">
                  <c:v>9795</c:v>
                </c:pt>
                <c:pt idx="2">
                  <c:v>3190</c:v>
                </c:pt>
                <c:pt idx="3">
                  <c:v>189</c:v>
                </c:pt>
                <c:pt idx="4">
                  <c:v>20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</a:rPr>
              <a:t>PASAJEROS NACIONALES SALIDOS POR AEROLINEA</a:t>
            </a:r>
            <a:endParaRPr lang="es-CO" sz="1200" b="1" i="0" u="none" strike="noStrike" kern="1200" spc="0" baseline="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075128803074286"/>
          <c:y val="2.1023427050363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'!$B$15:$B$20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'!$C$15:$C$20</c:f>
              <c:numCache>
                <c:formatCode>#,##0</c:formatCode>
                <c:ptCount val="6"/>
                <c:pt idx="0">
                  <c:v>59319</c:v>
                </c:pt>
                <c:pt idx="1">
                  <c:v>24410</c:v>
                </c:pt>
                <c:pt idx="2">
                  <c:v>14551</c:v>
                </c:pt>
                <c:pt idx="3">
                  <c:v>3189</c:v>
                </c:pt>
                <c:pt idx="4">
                  <c:v>105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'!$C$112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'!$B$113:$B$119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'!$C$113:$C$119</c:f>
              <c:numCache>
                <c:formatCode>0</c:formatCode>
                <c:ptCount val="7"/>
                <c:pt idx="0">
                  <c:v>502</c:v>
                </c:pt>
                <c:pt idx="1">
                  <c:v>153</c:v>
                </c:pt>
                <c:pt idx="2">
                  <c:v>173</c:v>
                </c:pt>
                <c:pt idx="3">
                  <c:v>148</c:v>
                </c:pt>
                <c:pt idx="4">
                  <c:v>89</c:v>
                </c:pt>
                <c:pt idx="5">
                  <c:v>60</c:v>
                </c:pt>
                <c:pt idx="6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</a:t>
            </a:r>
            <a:endParaRPr lang="en-US" sz="1000" b="1" i="0" u="none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'!$C$122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'!$B$123:$B$129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'!$C$123:$C$129</c:f>
              <c:numCache>
                <c:formatCode>0</c:formatCode>
                <c:ptCount val="7"/>
                <c:pt idx="0">
                  <c:v>504</c:v>
                </c:pt>
                <c:pt idx="1">
                  <c:v>154</c:v>
                </c:pt>
                <c:pt idx="2">
                  <c:v>173</c:v>
                </c:pt>
                <c:pt idx="3">
                  <c:v>148</c:v>
                </c:pt>
                <c:pt idx="4">
                  <c:v>89</c:v>
                </c:pt>
                <c:pt idx="5">
                  <c:v>61</c:v>
                </c:pt>
                <c:pt idx="6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OPERACIONES COMERCIALES NACIONALES POR DESTINO Y PROCEDENCIA </a:t>
            </a:r>
          </a:p>
        </c:rich>
      </c:tx>
      <c:layout>
        <c:manualLayout>
          <c:xMode val="edge"/>
          <c:yMode val="edge"/>
          <c:x val="9.4192741038257644E-2"/>
          <c:y val="3.1856931124978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'!$C$133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layout>
                <c:manualLayout>
                  <c:x val="-0.15025229341657165"/>
                  <c:y val="7.5718563866818425E-2"/>
                </c:manualLayout>
              </c:layout>
              <c:tx>
                <c:rich>
                  <a:bodyPr/>
                  <a:lstStyle/>
                  <a:p>
                    <a:fld id="{5D66123C-6678-45D1-9749-44E3D4A02FF4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layout>
                <c:manualLayout>
                  <c:x val="0.11293833062177355"/>
                  <c:y val="-0.106933989993653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layout>
                <c:manualLayout>
                  <c:x val="0.11059837076096191"/>
                  <c:y val="5.2896332735611881E-2"/>
                </c:manualLayout>
              </c:layout>
              <c:tx>
                <c:rich>
                  <a:bodyPr/>
                  <a:lstStyle/>
                  <a:p>
                    <a:fld id="{287A28FB-7BF2-4041-B9EC-79BA7A78B4E1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layout>
                <c:manualLayout>
                  <c:x val="9.0006404100671691E-2"/>
                  <c:y val="1.9400503421231838E-3"/>
                </c:manualLayout>
              </c:layout>
              <c:tx>
                <c:rich>
                  <a:bodyPr/>
                  <a:lstStyle/>
                  <a:p>
                    <a:fld id="{D94B4BA1-A4A8-40F8-9140-D3173C51D519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'!$B$134:$B$137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'!$C$134:$C$137</c:f>
              <c:numCache>
                <c:formatCode>#,##0</c:formatCode>
                <c:ptCount val="4"/>
                <c:pt idx="0">
                  <c:v>346</c:v>
                </c:pt>
                <c:pt idx="1">
                  <c:v>1006</c:v>
                </c:pt>
                <c:pt idx="2">
                  <c:v>296</c:v>
                </c:pt>
                <c:pt idx="3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OPERACIONES COMERCIALES INTERNACIONALES POR DESTINO Y PROCEDENCIA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'!$C$143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2-AB9A-49B1-945F-1AC9392024FE}"/>
              </c:ext>
            </c:extLst>
          </c:dPt>
          <c:dLbls>
            <c:dLbl>
              <c:idx val="0"/>
              <c:layout>
                <c:manualLayout>
                  <c:x val="-0.10027381675876623"/>
                  <c:y val="-0.3216313953360405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501809122485037"/>
                      <c:h val="0.167287574146829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'!$B$144:$B$145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f>'DESTINO Y PROCE '!$C$144:$C$145</c:f>
              <c:numCache>
                <c:formatCode>0</c:formatCode>
                <c:ptCount val="2"/>
                <c:pt idx="0">
                  <c:v>121</c:v>
                </c:pt>
                <c:pt idx="1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NACIONALES POR PROCEDENCIA 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841750496876994"/>
          <c:y val="2.9116459290809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Chart>
        <c:varyColors val="1"/>
        <c:ser>
          <c:idx val="0"/>
          <c:order val="0"/>
          <c:tx>
            <c:strRef>
              <c:f>'DESTINO Y PROCE '!$C$35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1CF-4683-BB31-72C003A063B7}"/>
              </c:ext>
            </c:extLst>
          </c:dPt>
          <c:dLbls>
            <c:dLbl>
              <c:idx val="0"/>
              <c:layout>
                <c:manualLayout>
                  <c:x val="-0.22529918668400692"/>
                  <c:y val="-0.22397355732035359"/>
                </c:manualLayout>
              </c:layout>
              <c:tx>
                <c:rich>
                  <a:bodyPr/>
                  <a:lstStyle/>
                  <a:p>
                    <a:fld id="{4DB6C13F-7B68-4D7A-ADE3-E82DA5ECC2C6}" type="CATEGORYNAME">
                      <a:rPr lang="en-US" sz="1100" b="1"/>
                      <a:pPr/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/>
                      <a:t>[PORCENTAJE]</a:t>
                    </a:fld>
                    <a:endParaRPr lang="en-US" sz="11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layout>
                <c:manualLayout>
                  <c:x val="8.2299591221029283E-2"/>
                  <c:y val="7.8999857414402574E-2"/>
                </c:manualLayout>
              </c:layout>
              <c:tx>
                <c:rich>
                  <a:bodyPr/>
                  <a:lstStyle/>
                  <a:p>
                    <a:fld id="{B56A142D-3651-4924-9291-536D6D9F6648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layout>
                <c:manualLayout>
                  <c:x val="5.7791476166975504E-2"/>
                  <c:y val="0.12235363879414617"/>
                </c:manualLayout>
              </c:layout>
              <c:tx>
                <c:rich>
                  <a:bodyPr/>
                  <a:lstStyle/>
                  <a:p>
                    <a:fld id="{D1A13EEE-C838-4DC4-AE73-F11FF5EB6DF2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layout>
                <c:manualLayout>
                  <c:x val="-1.3139693565792148E-2"/>
                  <c:y val="5.488014843603034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layout>
                <c:manualLayout>
                  <c:x val="4.7095765604420685E-2"/>
                  <c:y val="4.353634109436965E-2"/>
                </c:manualLayout>
              </c:layout>
              <c:tx>
                <c:rich>
                  <a:bodyPr/>
                  <a:lstStyle/>
                  <a:p>
                    <a:fld id="{86BC370F-064F-48BE-95E6-489855197219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'!$B$36:$B$41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'!$C$36:$C$41</c:f>
              <c:numCache>
                <c:formatCode>#,##0</c:formatCode>
                <c:ptCount val="6"/>
                <c:pt idx="0">
                  <c:v>83629</c:v>
                </c:pt>
                <c:pt idx="1">
                  <c:v>8108</c:v>
                </c:pt>
                <c:pt idx="2">
                  <c:v>11170</c:v>
                </c:pt>
                <c:pt idx="3">
                  <c:v>6178</c:v>
                </c:pt>
                <c:pt idx="4">
                  <c:v>2835</c:v>
                </c:pt>
                <c:pt idx="5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PASAJEROS INTERNACIONALES POR PROCEDENCIA</a:t>
            </a:r>
            <a:endParaRPr lang="es-CO" sz="12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'DESTINO Y PROCE '!$C$45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B6F-41F7-A14B-D572E54570F5}"/>
              </c:ext>
            </c:extLst>
          </c:dPt>
          <c:dLbls>
            <c:dLbl>
              <c:idx val="0"/>
              <c:layout>
                <c:manualLayout>
                  <c:x val="-0.1575563788882538"/>
                  <c:y val="-0.23705637270636296"/>
                </c:manualLayout>
              </c:layout>
              <c:tx>
                <c:rich>
                  <a:bodyPr/>
                  <a:lstStyle/>
                  <a:p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B6F-41F7-A14B-D572E54570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'!$B$46:$B$48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GUAYAQUIL</c:v>
                </c:pt>
              </c:strCache>
            </c:strRef>
          </c:cat>
          <c:val>
            <c:numRef>
              <c:f>'DESTINO Y PROCE '!$C$46:$C$48</c:f>
              <c:numCache>
                <c:formatCode>#,##0</c:formatCode>
                <c:ptCount val="3"/>
                <c:pt idx="0">
                  <c:v>8807</c:v>
                </c:pt>
                <c:pt idx="1">
                  <c:v>2270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 DICIEMBRE 2025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'!$B$149:$B$155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'!$C$149:$C$155</c:f>
              <c:numCache>
                <c:formatCode>#,##0</c:formatCode>
                <c:ptCount val="7"/>
                <c:pt idx="0">
                  <c:v>1006</c:v>
                </c:pt>
                <c:pt idx="1">
                  <c:v>346</c:v>
                </c:pt>
                <c:pt idx="2">
                  <c:v>296</c:v>
                </c:pt>
                <c:pt idx="3">
                  <c:v>178</c:v>
                </c:pt>
                <c:pt idx="4">
                  <c:v>121</c:v>
                </c:pt>
                <c:pt idx="5">
                  <c:v>307</c:v>
                </c:pt>
                <c:pt idx="6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DICIEMBRE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4299060488365109"/>
          <c:y val="1.8987286351916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'!$C$148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'!$B$149:$B$155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'!$C$149:$C$155</c:f>
              <c:numCache>
                <c:formatCode>#,##0</c:formatCode>
                <c:ptCount val="7"/>
                <c:pt idx="0">
                  <c:v>1006</c:v>
                </c:pt>
                <c:pt idx="1">
                  <c:v>346</c:v>
                </c:pt>
                <c:pt idx="2">
                  <c:v>296</c:v>
                </c:pt>
                <c:pt idx="3">
                  <c:v>178</c:v>
                </c:pt>
                <c:pt idx="4">
                  <c:v>121</c:v>
                </c:pt>
                <c:pt idx="5">
                  <c:v>307</c:v>
                </c:pt>
                <c:pt idx="6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chemeClr val="tx1"/>
                </a:solidFill>
              </a:rPr>
              <a:t>PASAJEROS NACIONALES</a:t>
            </a:r>
            <a:r>
              <a:rPr lang="es-CO" sz="1000" baseline="0">
                <a:solidFill>
                  <a:schemeClr val="tx1"/>
                </a:solidFill>
              </a:rPr>
              <a:t> POR DESTINO</a:t>
            </a:r>
            <a:endParaRPr lang="es-CO" sz="100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4432305336832896"/>
          <c:y val="0.11279993728524146"/>
          <c:w val="0.49190966754155729"/>
          <c:h val="0.7407887698421064"/>
        </c:manualLayout>
      </c:layout>
      <c:pieChart>
        <c:varyColors val="1"/>
        <c:ser>
          <c:idx val="0"/>
          <c:order val="0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Lbls>
            <c:dLbl>
              <c:idx val="0"/>
              <c:layout>
                <c:manualLayout>
                  <c:x val="-0.16231561679790027"/>
                  <c:y val="-0.13961642546957018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444-4A29-9243-CC449C88C121}"/>
                </c:ext>
              </c:extLst>
            </c:dLbl>
            <c:dLbl>
              <c:idx val="1"/>
              <c:layout>
                <c:manualLayout>
                  <c:x val="0.14309230096237968"/>
                  <c:y val="1.59359387187216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444-4A29-9243-CC449C88C12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444-4A29-9243-CC449C88C121}"/>
                </c:ext>
              </c:extLst>
            </c:dLbl>
            <c:dLbl>
              <c:idx val="3"/>
              <c:layout>
                <c:manualLayout>
                  <c:x val="-5.7694663167104114E-3"/>
                  <c:y val="5.426506471741467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444-4A29-9243-CC449C88C121}"/>
                </c:ext>
              </c:extLst>
            </c:dLbl>
            <c:dLbl>
              <c:idx val="4"/>
              <c:layout>
                <c:manualLayout>
                  <c:x val="9.4966535433070862E-2"/>
                  <c:y val="0.10854231665155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444-4A29-9243-CC449C88C1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'DESTINO Y PROCE '!$C$81:$C$85</c:f>
              <c:numCache>
                <c:formatCode>#,##0</c:formatCode>
                <c:ptCount val="5"/>
                <c:pt idx="0">
                  <c:v>78338</c:v>
                </c:pt>
                <c:pt idx="1">
                  <c:v>5045</c:v>
                </c:pt>
                <c:pt idx="2">
                  <c:v>11393</c:v>
                </c:pt>
                <c:pt idx="3">
                  <c:v>2995</c:v>
                </c:pt>
                <c:pt idx="4">
                  <c:v>3008</c:v>
                </c:pt>
              </c:numCache>
            </c:numRef>
          </c:cat>
          <c:val>
            <c:numRef>
              <c:f>'DESTINO Y PROCE '!$D$81:$D$85</c:f>
              <c:numCache>
                <c:formatCode>0.00%</c:formatCode>
                <c:ptCount val="5"/>
                <c:pt idx="0">
                  <c:v>0.69970256969069033</c:v>
                </c:pt>
                <c:pt idx="1">
                  <c:v>4.5061138452469209E-2</c:v>
                </c:pt>
                <c:pt idx="2">
                  <c:v>0.10176046588483284</c:v>
                </c:pt>
                <c:pt idx="3">
                  <c:v>2.6750864155628398E-2</c:v>
                </c:pt>
                <c:pt idx="4">
                  <c:v>2.6866978090193731E-2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8.4730314960629924E-2"/>
          <c:y val="0.89393518518518522"/>
          <c:w val="0.88642979002624678"/>
          <c:h val="7.0591653139954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000" b="1" i="0" u="none" strike="noStrike" kern="1200" cap="all" spc="50" baseline="0">
                <a:solidFill>
                  <a:schemeClr val="tx1"/>
                </a:solidFill>
              </a:rPr>
              <a:t>PASAJEROS INTERNACIONALES POR DESTINO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1"/>
          <c:order val="1"/>
          <c:tx>
            <c:strRef>
              <c:f>'DESTINO Y PROCE '!$D$90</c:f>
              <c:strCache>
                <c:ptCount val="1"/>
                <c:pt idx="0">
                  <c:v>PORCENTAJE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1E-412D-AB0A-155E407A9CA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1E-412D-AB0A-155E407A9CA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61E-412D-AB0A-155E407A9CA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61E-412D-AB0A-155E407A9CA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61E-412D-AB0A-155E407A9CA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61E-412D-AB0A-155E407A9C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'!$B$91:$B$93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OTROS</c:v>
                </c:pt>
              </c:strCache>
            </c:strRef>
          </c:cat>
          <c:val>
            <c:numRef>
              <c:f>'DESTINO Y PROCE '!$D$91:$D$93</c:f>
              <c:numCache>
                <c:formatCode>0.0%</c:formatCode>
                <c:ptCount val="3"/>
                <c:pt idx="0">
                  <c:v>0.26059896803021437</c:v>
                </c:pt>
                <c:pt idx="1">
                  <c:v>5.0720783020373424E-2</c:v>
                </c:pt>
                <c:pt idx="2">
                  <c:v>0.68868024894941215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94-4A9E-8A67-33C1A1665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'DESTINO Y PROCE '!$C$90</c15:sqref>
                        </c15:formulaRef>
                      </c:ext>
                    </c:extLst>
                    <c:strCache>
                      <c:ptCount val="1"/>
                      <c:pt idx="0">
                        <c:v>PAX. INTERNACIONALES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D-661E-412D-AB0A-155E407A9CA8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661E-412D-AB0A-155E407A9CA8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661E-412D-AB0A-155E407A9CA8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661E-412D-AB0A-155E407A9CA8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661E-412D-AB0A-155E407A9CA8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661E-412D-AB0A-155E407A9CA8}"/>
                    </c:ext>
                  </c:extLst>
                </c:dPt>
                <c:cat>
                  <c:strRef>
                    <c:extLst>
                      <c:ext uri="{02D57815-91ED-43cb-92C2-25804820EDAC}">
                        <c15:formulaRef>
                          <c15:sqref>'DESTINO Y PROCE '!$B$91:$B$93</c15:sqref>
                        </c15:formulaRef>
                      </c:ext>
                    </c:extLst>
                    <c:strCache>
                      <c:ptCount val="3"/>
                      <c:pt idx="0">
                        <c:v>PANAMA</c:v>
                      </c:pt>
                      <c:pt idx="1">
                        <c:v>NEW YORK</c:v>
                      </c:pt>
                      <c:pt idx="2">
                        <c:v>OTROS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'DESTINO Y PROCE '!$C$91:$C$93</c15:sqref>
                        </c15:formulaRef>
                      </c:ext>
                    </c:extLst>
                    <c:numCache>
                      <c:formatCode>#,##0</c:formatCode>
                      <c:ptCount val="3"/>
                      <c:pt idx="0">
                        <c:v>9798</c:v>
                      </c:pt>
                      <c:pt idx="1">
                        <c:v>1907</c:v>
                      </c:pt>
                      <c:pt idx="2">
                        <c:v>25893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994-4A9E-8A67-33C1A1665A1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  <c:pt idx="10" formatCode="General">
                  <c:v>2162</c:v>
                </c:pt>
                <c:pt idx="11" formatCode="General">
                  <c:v>2222</c:v>
                </c:pt>
                <c:pt idx="12" formatCode="General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ser>
          <c:idx val="10"/>
          <c:order val="10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'!$M$3:$M$15</c:f>
              <c:numCache>
                <c:formatCode>#,##0</c:formatCode>
                <c:ptCount val="13"/>
                <c:pt idx="0" formatCode="General">
                  <c:v>2026</c:v>
                </c:pt>
                <c:pt idx="1">
                  <c:v>2288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75-4C78-BF86-FAEEC21F6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DICIEMBRE - 2025</a:t>
            </a: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485</c:v>
                </c:pt>
                <c:pt idx="1">
                  <c:v>172</c:v>
                </c:pt>
                <c:pt idx="2">
                  <c:v>89</c:v>
                </c:pt>
                <c:pt idx="3">
                  <c:v>127</c:v>
                </c:pt>
                <c:pt idx="4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DICIEMBRE 2024 VS DICIEMBRE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DICIEMBRE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76</c:v>
                </c:pt>
                <c:pt idx="1">
                  <c:v>1823</c:v>
                </c:pt>
                <c:pt idx="2">
                  <c:v>254</c:v>
                </c:pt>
                <c:pt idx="3">
                  <c:v>2153</c:v>
                </c:pt>
                <c:pt idx="4">
                  <c:v>36</c:v>
                </c:pt>
                <c:pt idx="5">
                  <c:v>1951</c:v>
                </c:pt>
                <c:pt idx="6">
                  <c:v>297</c:v>
                </c:pt>
                <c:pt idx="7">
                  <c:v>2284</c:v>
                </c:pt>
                <c:pt idx="8" formatCode="0.00%">
                  <c:v>6.0845332094751514E-2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DICIEMBRE 2024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495</c:v>
                </c:pt>
                <c:pt idx="1">
                  <c:v>155</c:v>
                </c:pt>
                <c:pt idx="2">
                  <c:v>79</c:v>
                </c:pt>
                <c:pt idx="3">
                  <c:v>102</c:v>
                </c:pt>
                <c:pt idx="4">
                  <c:v>46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ENERO 2026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'!$B$4:$B$7</c:f>
              <c:strCache>
                <c:ptCount val="4"/>
                <c:pt idx="0">
                  <c:v>LATAM</c:v>
                </c:pt>
                <c:pt idx="1">
                  <c:v>COPA</c:v>
                </c:pt>
                <c:pt idx="2">
                  <c:v>DEPRISA</c:v>
                </c:pt>
                <c:pt idx="3">
                  <c:v>TOTAL</c:v>
                </c:pt>
              </c:strCache>
            </c:strRef>
          </c:cat>
          <c:val>
            <c:numRef>
              <c:f>'CARGA '!$C$4:$C$7</c:f>
              <c:numCache>
                <c:formatCode>#,##0</c:formatCode>
                <c:ptCount val="4"/>
                <c:pt idx="0">
                  <c:v>7435</c:v>
                </c:pt>
                <c:pt idx="1">
                  <c:v>0</c:v>
                </c:pt>
                <c:pt idx="2">
                  <c:v>62350</c:v>
                </c:pt>
                <c:pt idx="3">
                  <c:v>69785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7435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62350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ser>
          <c:idx val="3"/>
          <c:order val="3"/>
          <c:tx>
            <c:strRef>
              <c:f>'CARGA '!$B$7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'!$C$7</c:f>
              <c:numCache>
                <c:formatCode>#,##0</c:formatCode>
                <c:ptCount val="1"/>
                <c:pt idx="0">
                  <c:v>69785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C3-483C-9FEF-64F65E25F48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2026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'!$C$9:$C$10</c:f>
              <c:strCache>
                <c:ptCount val="2"/>
                <c:pt idx="0">
                  <c:v>VOLUMEN DE CARGA PRIMER SEMESTRE AÑO 2026  (ENERO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'!$B$11:$B$14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PRIMER SEMESTRE AÑO 2025</c:v>
                </c:pt>
              </c:strCache>
            </c:strRef>
          </c:cat>
          <c:val>
            <c:numRef>
              <c:f>'CARGA '!$C$11:$C$14</c:f>
              <c:numCache>
                <c:formatCode>#,##0</c:formatCode>
                <c:ptCount val="4"/>
                <c:pt idx="0">
                  <c:v>0</c:v>
                </c:pt>
                <c:pt idx="1">
                  <c:v>7435</c:v>
                </c:pt>
                <c:pt idx="2">
                  <c:v>62350</c:v>
                </c:pt>
                <c:pt idx="3">
                  <c:v>69785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'!$B$50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'!$C$50:$N$50</c:f>
              <c:numCache>
                <c:formatCode>#,##0</c:formatCode>
                <c:ptCount val="12"/>
                <c:pt idx="0">
                  <c:v>62350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B3-4CA5-92C0-6215681D8F0B}"/>
            </c:ext>
          </c:extLst>
        </c:ser>
        <c:ser>
          <c:idx val="1"/>
          <c:order val="1"/>
          <c:tx>
            <c:strRef>
              <c:f>'CARGA '!$B$51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'!$C$51:$N$51</c:f>
              <c:numCache>
                <c:formatCode>#,##0</c:formatCode>
                <c:ptCount val="12"/>
                <c:pt idx="0">
                  <c:v>7435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11-4A7A-963E-DE38AFB2A511}"/>
            </c:ext>
          </c:extLst>
        </c:ser>
        <c:ser>
          <c:idx val="2"/>
          <c:order val="2"/>
          <c:tx>
            <c:strRef>
              <c:f>'CARGA '!$B$52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'!$C$52:$N$52</c:f>
              <c:numCache>
                <c:formatCode>#,##0</c:formatCode>
                <c:ptCount val="12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11-4A7A-963E-DE38AFB2A51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0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legendEntry>
      <c:layout>
        <c:manualLayout>
          <c:xMode val="edge"/>
          <c:yMode val="edge"/>
          <c:x val="0.40257817140975521"/>
          <c:y val="0.91551202914040175"/>
          <c:w val="0.21452229490421951"/>
          <c:h val="6.83895364143311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ln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74000">
                      <a:schemeClr val="accent1">
                        <a:lumMod val="45000"/>
                        <a:lumOff val="5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</a:ln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SEGUNDO SEMESTRE AÑO 2026  ( JULIO - DICIEMBRE)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'!$C$17:$C$18</c:f>
              <c:strCache>
                <c:ptCount val="2"/>
                <c:pt idx="0">
                  <c:v>VOLUMEN DE CARGA SEGUNDO SEMESTRE AÑO 2026  ( JULIO - DICIEMBRE)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'!$B$19:$B$22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SEGUNDO SEMESTRE AÑO 2026</c:v>
                </c:pt>
              </c:strCache>
            </c:strRef>
          </c:cat>
          <c:val>
            <c:numRef>
              <c:f>'CARGA '!$C$19:$C$22</c:f>
              <c:numCache>
                <c:formatCode>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8F-4676-BA26-C27B54840B1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3.xml"/><Relationship Id="rId3" Type="http://schemas.openxmlformats.org/officeDocument/2006/relationships/image" Target="../media/image3.png"/><Relationship Id="rId7" Type="http://schemas.openxmlformats.org/officeDocument/2006/relationships/chart" Target="../charts/chart22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743855</xdr:colOff>
      <xdr:row>33</xdr:row>
      <xdr:rowOff>134939</xdr:rowOff>
    </xdr:from>
    <xdr:to>
      <xdr:col>10</xdr:col>
      <xdr:colOff>1000124</xdr:colOff>
      <xdr:row>54</xdr:row>
      <xdr:rowOff>63500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1158875</xdr:colOff>
      <xdr:row>33</xdr:row>
      <xdr:rowOff>277810</xdr:rowOff>
    </xdr:from>
    <xdr:to>
      <xdr:col>17</xdr:col>
      <xdr:colOff>365125</xdr:colOff>
      <xdr:row>53</xdr:row>
      <xdr:rowOff>158749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881060</xdr:colOff>
      <xdr:row>0</xdr:row>
      <xdr:rowOff>152400</xdr:rowOff>
    </xdr:from>
    <xdr:to>
      <xdr:col>19</xdr:col>
      <xdr:colOff>21167</xdr:colOff>
      <xdr:row>19</xdr:row>
      <xdr:rowOff>21167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279793</xdr:colOff>
      <xdr:row>0</xdr:row>
      <xdr:rowOff>69054</xdr:rowOff>
    </xdr:from>
    <xdr:to>
      <xdr:col>10</xdr:col>
      <xdr:colOff>634999</xdr:colOff>
      <xdr:row>18</xdr:row>
      <xdr:rowOff>179916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109</xdr:row>
      <xdr:rowOff>39270</xdr:rowOff>
    </xdr:from>
    <xdr:to>
      <xdr:col>13</xdr:col>
      <xdr:colOff>300790</xdr:colOff>
      <xdr:row>124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109</xdr:row>
      <xdr:rowOff>67677</xdr:rowOff>
    </xdr:from>
    <xdr:to>
      <xdr:col>18</xdr:col>
      <xdr:colOff>317500</xdr:colOff>
      <xdr:row>123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130</xdr:row>
      <xdr:rowOff>0</xdr:rowOff>
    </xdr:from>
    <xdr:to>
      <xdr:col>13</xdr:col>
      <xdr:colOff>374196</xdr:colOff>
      <xdr:row>148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381000</xdr:colOff>
      <xdr:row>130</xdr:row>
      <xdr:rowOff>90237</xdr:rowOff>
    </xdr:from>
    <xdr:to>
      <xdr:col>17</xdr:col>
      <xdr:colOff>380999</xdr:colOff>
      <xdr:row>146</xdr:row>
      <xdr:rowOff>45832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709083</xdr:colOff>
      <xdr:row>1</xdr:row>
      <xdr:rowOff>116416</xdr:rowOff>
    </xdr:from>
    <xdr:to>
      <xdr:col>14</xdr:col>
      <xdr:colOff>994832</xdr:colOff>
      <xdr:row>33</xdr:row>
      <xdr:rowOff>84665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1594183</xdr:colOff>
      <xdr:row>1</xdr:row>
      <xdr:rowOff>160421</xdr:rowOff>
    </xdr:from>
    <xdr:to>
      <xdr:col>19</xdr:col>
      <xdr:colOff>455082</xdr:colOff>
      <xdr:row>29</xdr:row>
      <xdr:rowOff>137583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150</xdr:row>
      <xdr:rowOff>69385</xdr:rowOff>
    </xdr:from>
    <xdr:to>
      <xdr:col>14</xdr:col>
      <xdr:colOff>110289</xdr:colOff>
      <xdr:row>173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153</xdr:row>
      <xdr:rowOff>70182</xdr:rowOff>
    </xdr:from>
    <xdr:to>
      <xdr:col>20</xdr:col>
      <xdr:colOff>10026</xdr:colOff>
      <xdr:row>180</xdr:row>
      <xdr:rowOff>180474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63500</xdr:colOff>
      <xdr:row>50</xdr:row>
      <xdr:rowOff>169333</xdr:rowOff>
    </xdr:from>
    <xdr:to>
      <xdr:col>14</xdr:col>
      <xdr:colOff>91351</xdr:colOff>
      <xdr:row>69</xdr:row>
      <xdr:rowOff>108618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381000</xdr:colOff>
      <xdr:row>50</xdr:row>
      <xdr:rowOff>177464</xdr:rowOff>
    </xdr:from>
    <xdr:to>
      <xdr:col>16</xdr:col>
      <xdr:colOff>1844842</xdr:colOff>
      <xdr:row>67</xdr:row>
      <xdr:rowOff>20053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882097</xdr:colOff>
      <xdr:row>29</xdr:row>
      <xdr:rowOff>8834</xdr:rowOff>
    </xdr:from>
    <xdr:to>
      <xdr:col>21</xdr:col>
      <xdr:colOff>547686</xdr:colOff>
      <xdr:row>51</xdr:row>
      <xdr:rowOff>11906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23</xdr:row>
      <xdr:rowOff>9525</xdr:rowOff>
    </xdr:from>
    <xdr:to>
      <xdr:col>2</xdr:col>
      <xdr:colOff>104775</xdr:colOff>
      <xdr:row>25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31</xdr:row>
      <xdr:rowOff>11120</xdr:rowOff>
    </xdr:from>
    <xdr:to>
      <xdr:col>2</xdr:col>
      <xdr:colOff>142874</xdr:colOff>
      <xdr:row>32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39</xdr:row>
      <xdr:rowOff>20045</xdr:rowOff>
    </xdr:from>
    <xdr:to>
      <xdr:col>2</xdr:col>
      <xdr:colOff>171450</xdr:colOff>
      <xdr:row>40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9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466725</xdr:colOff>
      <xdr:row>0</xdr:row>
      <xdr:rowOff>33337</xdr:rowOff>
    </xdr:from>
    <xdr:to>
      <xdr:col>12</xdr:col>
      <xdr:colOff>523875</xdr:colOff>
      <xdr:row>8</xdr:row>
      <xdr:rowOff>257175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1076324</xdr:colOff>
      <xdr:row>10</xdr:row>
      <xdr:rowOff>180974</xdr:rowOff>
    </xdr:from>
    <xdr:to>
      <xdr:col>8</xdr:col>
      <xdr:colOff>304800</xdr:colOff>
      <xdr:row>22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761998</xdr:colOff>
      <xdr:row>46</xdr:row>
      <xdr:rowOff>0</xdr:rowOff>
    </xdr:from>
    <xdr:to>
      <xdr:col>24</xdr:col>
      <xdr:colOff>238124</xdr:colOff>
      <xdr:row>61</xdr:row>
      <xdr:rowOff>19050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D481DCC-280B-4CD5-A8CA-0E20D2DA4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0</xdr:colOff>
      <xdr:row>11</xdr:row>
      <xdr:rowOff>0</xdr:rowOff>
    </xdr:from>
    <xdr:to>
      <xdr:col>13</xdr:col>
      <xdr:colOff>266701</xdr:colOff>
      <xdr:row>22</xdr:row>
      <xdr:rowOff>47626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CC8C27DF-88AD-49D0-A893-A8E76DFE81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61"/>
  <sheetViews>
    <sheetView topLeftCell="F1" zoomScale="90" zoomScaleNormal="90" workbookViewId="0">
      <selection activeCell="V26" sqref="V26"/>
    </sheetView>
  </sheetViews>
  <sheetFormatPr baseColWidth="10" defaultRowHeight="15"/>
  <cols>
    <col min="2" max="2" width="24" customWidth="1"/>
    <col min="3" max="3" width="21.57031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43" t="s">
        <v>186</v>
      </c>
      <c r="C1" s="344"/>
      <c r="D1" s="345"/>
    </row>
    <row r="2" spans="2:25" ht="30">
      <c r="B2" s="1" t="s">
        <v>0</v>
      </c>
      <c r="C2" s="2" t="s">
        <v>1</v>
      </c>
      <c r="D2" s="3" t="s">
        <v>2</v>
      </c>
    </row>
    <row r="3" spans="2:25">
      <c r="B3" s="4" t="s">
        <v>4</v>
      </c>
      <c r="C3" s="126">
        <v>59319</v>
      </c>
      <c r="D3" s="67">
        <v>24131</v>
      </c>
    </row>
    <row r="4" spans="2:25">
      <c r="B4" s="4" t="s">
        <v>3</v>
      </c>
      <c r="C4" s="126">
        <v>24410</v>
      </c>
      <c r="D4" s="64">
        <v>3190</v>
      </c>
    </row>
    <row r="5" spans="2:25">
      <c r="B5" s="4" t="s">
        <v>101</v>
      </c>
      <c r="C5" s="126">
        <v>14551</v>
      </c>
      <c r="D5" s="64">
        <v>189</v>
      </c>
    </row>
    <row r="6" spans="2:25">
      <c r="B6" s="4" t="s">
        <v>97</v>
      </c>
      <c r="C6" s="126">
        <v>3189</v>
      </c>
      <c r="D6" s="64">
        <v>0</v>
      </c>
    </row>
    <row r="7" spans="2:25">
      <c r="B7" s="4" t="s">
        <v>102</v>
      </c>
      <c r="C7" s="126">
        <v>105</v>
      </c>
      <c r="D7" s="64">
        <v>20</v>
      </c>
    </row>
    <row r="8" spans="2:25">
      <c r="B8" s="4" t="s">
        <v>106</v>
      </c>
      <c r="C8" s="189">
        <v>0</v>
      </c>
      <c r="D8" s="64">
        <v>0</v>
      </c>
    </row>
    <row r="9" spans="2:25">
      <c r="B9" s="4" t="s">
        <v>5</v>
      </c>
      <c r="C9" s="66">
        <v>0</v>
      </c>
      <c r="D9" s="64">
        <v>9795</v>
      </c>
    </row>
    <row r="10" spans="2:25" ht="15.75" thickBot="1">
      <c r="B10" s="5" t="s">
        <v>6</v>
      </c>
      <c r="C10" s="6">
        <f>SUM(C3:C9)</f>
        <v>101574</v>
      </c>
      <c r="D10" s="7">
        <f>SUM(D3:D9)</f>
        <v>37325</v>
      </c>
    </row>
    <row r="11" spans="2:25">
      <c r="D11" s="48"/>
    </row>
    <row r="12" spans="2:25">
      <c r="D12" s="48"/>
    </row>
    <row r="14" spans="2:25">
      <c r="B14" s="301" t="s">
        <v>0</v>
      </c>
      <c r="C14" s="2" t="s">
        <v>1</v>
      </c>
    </row>
    <row r="15" spans="2:25">
      <c r="B15" s="18" t="s">
        <v>4</v>
      </c>
      <c r="C15" s="66">
        <f>C3</f>
        <v>59319</v>
      </c>
    </row>
    <row r="16" spans="2:25" ht="15.75">
      <c r="B16" s="18" t="s">
        <v>3</v>
      </c>
      <c r="C16" s="66">
        <f>C4</f>
        <v>24410</v>
      </c>
      <c r="D16" s="8"/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101</v>
      </c>
      <c r="C17" s="66">
        <f>C5</f>
        <v>14551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97</v>
      </c>
      <c r="C18" s="66">
        <f>C6</f>
        <v>3189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102</v>
      </c>
      <c r="C19" s="66">
        <f>C7</f>
        <v>105</v>
      </c>
      <c r="D19" s="48"/>
      <c r="O19" s="12"/>
      <c r="P19" s="13"/>
      <c r="Q19" s="13"/>
      <c r="R19" s="12"/>
      <c r="S19" s="13"/>
      <c r="T19" s="13"/>
      <c r="U19" s="11"/>
      <c r="V19" s="11"/>
      <c r="W19" s="11"/>
      <c r="X19" s="11"/>
      <c r="Y19" s="11"/>
    </row>
    <row r="20" spans="2:25">
      <c r="B20" s="18" t="s">
        <v>106</v>
      </c>
      <c r="C20" s="331">
        <f>+C8</f>
        <v>0</v>
      </c>
      <c r="D20" s="48"/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302" t="s">
        <v>6</v>
      </c>
      <c r="C21" s="303">
        <f>SUM(C15:C20)</f>
        <v>101574</v>
      </c>
      <c r="D21" s="48"/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D22" s="48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O23" s="12"/>
      <c r="P23" s="14"/>
      <c r="Q23" s="14"/>
      <c r="R23" s="12"/>
      <c r="S23" s="14"/>
      <c r="T23" s="14"/>
      <c r="U23" s="11"/>
      <c r="V23" s="11"/>
      <c r="W23" s="11"/>
      <c r="X23" s="11"/>
      <c r="Y23" s="11"/>
    </row>
    <row r="24" spans="2:25" ht="25.5">
      <c r="B24" s="301" t="s">
        <v>0</v>
      </c>
      <c r="C24" s="304" t="s">
        <v>2</v>
      </c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18" t="s">
        <v>4</v>
      </c>
      <c r="C25" s="66">
        <f>D3</f>
        <v>24131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2:25">
      <c r="B26" s="18" t="s">
        <v>5</v>
      </c>
      <c r="C26" s="66">
        <f>D9</f>
        <v>9795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3</v>
      </c>
      <c r="C27" s="66">
        <f>D4</f>
        <v>3190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101</v>
      </c>
      <c r="C28" s="66">
        <f>+D5</f>
        <v>189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102</v>
      </c>
      <c r="C29" s="66">
        <f>+D7</f>
        <v>20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18" t="s">
        <v>132</v>
      </c>
      <c r="C30" s="66">
        <v>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B31" s="302" t="s">
        <v>6</v>
      </c>
      <c r="C31" s="303">
        <f>SUM(C24:C30)</f>
        <v>37325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>
      <c r="D32" s="48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 ht="15.75" thickBot="1">
      <c r="D33" s="48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 ht="27" customHeight="1">
      <c r="B34" s="346" t="s">
        <v>187</v>
      </c>
      <c r="C34" s="347"/>
      <c r="D34" s="348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 ht="30">
      <c r="B35" s="1" t="s">
        <v>0</v>
      </c>
      <c r="C35" s="2" t="s">
        <v>1</v>
      </c>
      <c r="D35" s="3" t="s">
        <v>2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>
      <c r="B36" s="4" t="s">
        <v>4</v>
      </c>
      <c r="C36" s="126">
        <v>70331</v>
      </c>
      <c r="D36" s="67">
        <v>2270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>
      <c r="B37" s="4" t="s">
        <v>3</v>
      </c>
      <c r="C37" s="126">
        <v>24789</v>
      </c>
      <c r="D37" s="260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101</v>
      </c>
      <c r="C38" s="126">
        <v>14470</v>
      </c>
      <c r="D38" s="260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97</v>
      </c>
      <c r="C39" s="126">
        <v>2978</v>
      </c>
      <c r="D39" s="260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102</v>
      </c>
      <c r="C40" s="126">
        <v>113</v>
      </c>
      <c r="D40" s="64">
        <v>8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106</v>
      </c>
      <c r="C41" s="66">
        <v>0</v>
      </c>
      <c r="D41" s="64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>
      <c r="B42" s="4" t="s">
        <v>5</v>
      </c>
      <c r="C42" s="66">
        <v>0</v>
      </c>
      <c r="D42" s="64">
        <v>8948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5.75" thickBot="1">
      <c r="B43" s="5" t="s">
        <v>6</v>
      </c>
      <c r="C43" s="6">
        <f>SUM(C36:C42)</f>
        <v>112681</v>
      </c>
      <c r="D43" s="7">
        <f>SUM(D36:D42)</f>
        <v>11226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>
      <c r="E44" s="48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 ht="15.75" thickBot="1"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B46" s="49" t="s">
        <v>0</v>
      </c>
      <c r="C46" s="50" t="s">
        <v>1</v>
      </c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2:25">
      <c r="B47" s="4" t="s">
        <v>4</v>
      </c>
      <c r="C47" s="126">
        <f>C36</f>
        <v>70331</v>
      </c>
    </row>
    <row r="48" spans="2:25">
      <c r="B48" s="4" t="s">
        <v>3</v>
      </c>
      <c r="C48" s="126">
        <f>+C37</f>
        <v>24789</v>
      </c>
    </row>
    <row r="49" spans="2:4">
      <c r="B49" s="4" t="s">
        <v>101</v>
      </c>
      <c r="C49" s="126">
        <f>C38</f>
        <v>14470</v>
      </c>
    </row>
    <row r="50" spans="2:4">
      <c r="B50" s="4" t="s">
        <v>97</v>
      </c>
      <c r="C50" s="126">
        <f>+C39</f>
        <v>2978</v>
      </c>
    </row>
    <row r="51" spans="2:4">
      <c r="B51" s="4" t="s">
        <v>102</v>
      </c>
      <c r="C51" s="126">
        <f>+C40</f>
        <v>113</v>
      </c>
    </row>
    <row r="52" spans="2:4" ht="15.75" thickBot="1">
      <c r="B52" s="4" t="s">
        <v>106</v>
      </c>
      <c r="C52" s="66">
        <f>+C41</f>
        <v>0</v>
      </c>
      <c r="D52" t="s">
        <v>95</v>
      </c>
    </row>
    <row r="53" spans="2:4" ht="15.75" thickBot="1">
      <c r="B53" s="234" t="s">
        <v>6</v>
      </c>
      <c r="C53" s="235">
        <f>SUM(C47:C52)</f>
        <v>112681</v>
      </c>
    </row>
    <row r="55" spans="2:4" ht="15.75" thickBot="1"/>
    <row r="56" spans="2:4" ht="24.75" customHeight="1">
      <c r="B56" s="49" t="s">
        <v>0</v>
      </c>
      <c r="C56" s="74" t="s">
        <v>2</v>
      </c>
    </row>
    <row r="57" spans="2:4">
      <c r="B57" s="4" t="s">
        <v>5</v>
      </c>
      <c r="C57" s="147">
        <f>D42</f>
        <v>8948</v>
      </c>
    </row>
    <row r="58" spans="2:4">
      <c r="B58" s="80" t="s">
        <v>4</v>
      </c>
      <c r="C58" s="147">
        <f>+D36</f>
        <v>2270</v>
      </c>
    </row>
    <row r="59" spans="2:4">
      <c r="B59" s="80" t="s">
        <v>115</v>
      </c>
      <c r="C59" s="147">
        <f>+D40</f>
        <v>8</v>
      </c>
    </row>
    <row r="60" spans="2:4" ht="15.75" thickBot="1">
      <c r="B60" s="5" t="s">
        <v>6</v>
      </c>
      <c r="C60" s="7">
        <f>SUM(C57:C59)</f>
        <v>11226</v>
      </c>
    </row>
    <row r="61" spans="2:4">
      <c r="D61" s="48"/>
    </row>
  </sheetData>
  <mergeCells count="2">
    <mergeCell ref="B1:D1"/>
    <mergeCell ref="B34:D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71"/>
  <sheetViews>
    <sheetView topLeftCell="A156" zoomScale="90" zoomScaleNormal="90" workbookViewId="0">
      <selection activeCell="A7" sqref="A7"/>
    </sheetView>
  </sheetViews>
  <sheetFormatPr baseColWidth="10" defaultRowHeight="15"/>
  <cols>
    <col min="2" max="2" width="25.7109375" customWidth="1"/>
    <col min="3" max="3" width="41.42578125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1" spans="2:6" ht="15.75" thickBot="1"/>
    <row r="2" spans="2:6" ht="37.5" customHeight="1">
      <c r="B2" s="356" t="s">
        <v>188</v>
      </c>
      <c r="C2" s="357"/>
      <c r="D2" s="357"/>
      <c r="E2" s="357"/>
      <c r="F2" s="358"/>
    </row>
    <row r="3" spans="2:6" ht="30">
      <c r="B3" s="359" t="s">
        <v>7</v>
      </c>
      <c r="C3" s="360"/>
      <c r="D3" s="15" t="s">
        <v>29</v>
      </c>
      <c r="E3" s="16" t="s">
        <v>1</v>
      </c>
      <c r="F3" s="17" t="s">
        <v>2</v>
      </c>
    </row>
    <row r="4" spans="2:6">
      <c r="B4" s="4" t="s">
        <v>9</v>
      </c>
      <c r="C4" s="18" t="s">
        <v>10</v>
      </c>
      <c r="D4" s="18" t="s">
        <v>11</v>
      </c>
      <c r="E4" s="65"/>
      <c r="F4" s="148">
        <v>8807</v>
      </c>
    </row>
    <row r="5" spans="2:6">
      <c r="B5" s="4" t="s">
        <v>169</v>
      </c>
      <c r="C5" s="18" t="s">
        <v>168</v>
      </c>
      <c r="D5" s="18" t="s">
        <v>11</v>
      </c>
      <c r="E5" s="65"/>
      <c r="F5" s="148"/>
    </row>
    <row r="6" spans="2:6">
      <c r="B6" s="4" t="s">
        <v>123</v>
      </c>
      <c r="C6" s="18" t="s">
        <v>128</v>
      </c>
      <c r="D6" s="18" t="s">
        <v>129</v>
      </c>
      <c r="E6" s="65"/>
      <c r="F6" s="148">
        <v>2270</v>
      </c>
    </row>
    <row r="7" spans="2:6">
      <c r="B7" s="4" t="s">
        <v>143</v>
      </c>
      <c r="C7" s="18" t="s">
        <v>141</v>
      </c>
      <c r="D7" s="18" t="s">
        <v>142</v>
      </c>
      <c r="E7" s="65"/>
      <c r="F7" s="148">
        <v>4</v>
      </c>
    </row>
    <row r="8" spans="2:6">
      <c r="B8" s="4" t="s">
        <v>18</v>
      </c>
      <c r="C8" s="18" t="s">
        <v>19</v>
      </c>
      <c r="D8" s="18" t="s">
        <v>20</v>
      </c>
      <c r="E8" s="87">
        <v>83629</v>
      </c>
      <c r="F8" s="73"/>
    </row>
    <row r="9" spans="2:6">
      <c r="B9" s="4" t="s">
        <v>24</v>
      </c>
      <c r="C9" s="18" t="s">
        <v>25</v>
      </c>
      <c r="D9" s="18" t="s">
        <v>189</v>
      </c>
      <c r="E9" s="87">
        <v>8108</v>
      </c>
      <c r="F9" s="73"/>
    </row>
    <row r="10" spans="2:6">
      <c r="B10" s="4" t="s">
        <v>21</v>
      </c>
      <c r="C10" s="18" t="s">
        <v>22</v>
      </c>
      <c r="D10" s="18" t="s">
        <v>23</v>
      </c>
      <c r="E10" s="87">
        <v>11170</v>
      </c>
      <c r="F10" s="73"/>
    </row>
    <row r="11" spans="2:6">
      <c r="B11" s="4" t="s">
        <v>15</v>
      </c>
      <c r="C11" s="18" t="s">
        <v>16</v>
      </c>
      <c r="D11" s="18" t="s">
        <v>17</v>
      </c>
      <c r="E11" s="87">
        <v>6178</v>
      </c>
      <c r="F11" s="73"/>
    </row>
    <row r="12" spans="2:6">
      <c r="B12" s="4" t="s">
        <v>150</v>
      </c>
      <c r="C12" s="18" t="s">
        <v>153</v>
      </c>
      <c r="D12" s="18" t="s">
        <v>154</v>
      </c>
      <c r="E12" s="87">
        <v>6</v>
      </c>
      <c r="F12" s="73"/>
    </row>
    <row r="13" spans="2:6">
      <c r="B13" s="4" t="s">
        <v>151</v>
      </c>
      <c r="C13" s="18" t="s">
        <v>155</v>
      </c>
      <c r="D13" s="18" t="s">
        <v>156</v>
      </c>
      <c r="E13" s="87"/>
      <c r="F13" s="73"/>
    </row>
    <row r="14" spans="2:6">
      <c r="B14" s="4" t="s">
        <v>27</v>
      </c>
      <c r="C14" s="18" t="s">
        <v>113</v>
      </c>
      <c r="D14" s="18" t="s">
        <v>103</v>
      </c>
      <c r="E14" s="87">
        <v>2835</v>
      </c>
      <c r="F14" s="73"/>
    </row>
    <row r="15" spans="2:6">
      <c r="B15" s="4" t="s">
        <v>152</v>
      </c>
      <c r="C15" s="18" t="s">
        <v>157</v>
      </c>
      <c r="D15" s="18" t="s">
        <v>158</v>
      </c>
      <c r="E15" s="87"/>
      <c r="F15" s="73"/>
    </row>
    <row r="16" spans="2:6">
      <c r="B16" s="4" t="s">
        <v>12</v>
      </c>
      <c r="C16" s="18" t="s">
        <v>13</v>
      </c>
      <c r="D16" s="18" t="s">
        <v>14</v>
      </c>
      <c r="E16" s="87"/>
      <c r="F16" s="73"/>
    </row>
    <row r="17" spans="2:6">
      <c r="B17" s="4" t="s">
        <v>145</v>
      </c>
      <c r="C17" s="18" t="s">
        <v>146</v>
      </c>
      <c r="D17" s="18" t="s">
        <v>148</v>
      </c>
      <c r="E17" s="87"/>
      <c r="F17" s="73"/>
    </row>
    <row r="18" spans="2:6">
      <c r="B18" s="4" t="s">
        <v>130</v>
      </c>
      <c r="C18" s="18" t="s">
        <v>147</v>
      </c>
      <c r="D18" s="18" t="s">
        <v>149</v>
      </c>
      <c r="E18" s="87"/>
      <c r="F18" s="73"/>
    </row>
    <row r="19" spans="2:6">
      <c r="B19" s="4" t="s">
        <v>12</v>
      </c>
      <c r="C19" s="18" t="s">
        <v>163</v>
      </c>
      <c r="D19" s="18" t="s">
        <v>164</v>
      </c>
      <c r="E19" s="87">
        <v>8</v>
      </c>
      <c r="F19" s="73"/>
    </row>
    <row r="20" spans="2:6" ht="15" customHeight="1">
      <c r="B20" s="4" t="s">
        <v>165</v>
      </c>
      <c r="C20" s="18" t="s">
        <v>166</v>
      </c>
      <c r="D20" s="18" t="s">
        <v>167</v>
      </c>
      <c r="E20" s="87"/>
      <c r="F20" s="73"/>
    </row>
    <row r="21" spans="2:6">
      <c r="B21" s="4" t="s">
        <v>122</v>
      </c>
      <c r="C21" s="18" t="s">
        <v>124</v>
      </c>
      <c r="D21" s="18" t="s">
        <v>125</v>
      </c>
      <c r="E21" s="87"/>
      <c r="F21" s="73"/>
    </row>
    <row r="22" spans="2:6">
      <c r="B22" s="4" t="s">
        <v>112</v>
      </c>
      <c r="C22" s="18" t="s">
        <v>111</v>
      </c>
      <c r="D22" s="18" t="s">
        <v>110</v>
      </c>
      <c r="E22" s="87"/>
      <c r="F22" s="73"/>
    </row>
    <row r="23" spans="2:6">
      <c r="B23" s="4" t="s">
        <v>190</v>
      </c>
      <c r="C23" s="18" t="s">
        <v>191</v>
      </c>
      <c r="D23" s="18" t="s">
        <v>192</v>
      </c>
      <c r="E23" s="87">
        <v>19</v>
      </c>
      <c r="F23" s="73"/>
    </row>
    <row r="24" spans="2:6">
      <c r="B24" s="4" t="s">
        <v>159</v>
      </c>
      <c r="C24" s="18" t="s">
        <v>161</v>
      </c>
      <c r="D24" s="18" t="s">
        <v>160</v>
      </c>
      <c r="E24" s="87"/>
      <c r="F24" s="73"/>
    </row>
    <row r="25" spans="2:6">
      <c r="B25" s="4" t="s">
        <v>121</v>
      </c>
      <c r="C25" s="18" t="s">
        <v>126</v>
      </c>
      <c r="D25" s="18" t="s">
        <v>127</v>
      </c>
      <c r="E25" s="87"/>
      <c r="F25" s="73"/>
    </row>
    <row r="26" spans="2:6">
      <c r="B26" s="80" t="s">
        <v>119</v>
      </c>
      <c r="C26" s="149" t="s">
        <v>137</v>
      </c>
      <c r="D26" s="149" t="s">
        <v>136</v>
      </c>
      <c r="E26" s="87"/>
      <c r="F26" s="73"/>
    </row>
    <row r="27" spans="2:6">
      <c r="B27" s="80" t="s">
        <v>134</v>
      </c>
      <c r="C27" s="149" t="s">
        <v>138</v>
      </c>
      <c r="D27" s="149" t="s">
        <v>133</v>
      </c>
      <c r="E27" s="87">
        <v>4</v>
      </c>
      <c r="F27" s="73"/>
    </row>
    <row r="28" spans="2:6">
      <c r="B28" s="80" t="s">
        <v>135</v>
      </c>
      <c r="C28" s="149" t="s">
        <v>139</v>
      </c>
      <c r="D28" s="149" t="s">
        <v>140</v>
      </c>
      <c r="E28" s="87"/>
      <c r="F28" s="73"/>
    </row>
    <row r="29" spans="2:6" ht="15.75" thickBot="1">
      <c r="B29" s="80" t="s">
        <v>105</v>
      </c>
      <c r="C29" s="149" t="s">
        <v>109</v>
      </c>
      <c r="D29" s="149" t="s">
        <v>104</v>
      </c>
      <c r="E29" s="87">
        <v>2</v>
      </c>
      <c r="F29" s="73"/>
    </row>
    <row r="30" spans="2:6" ht="15.75" thickBot="1">
      <c r="B30" s="361"/>
      <c r="C30" s="362"/>
      <c r="D30" s="364" t="s">
        <v>6</v>
      </c>
      <c r="E30" s="186">
        <f>SUM(E8:E29)</f>
        <v>111959</v>
      </c>
      <c r="F30" s="186">
        <f>SUM(F4:F29)</f>
        <v>11081</v>
      </c>
    </row>
    <row r="31" spans="2:6" ht="15.75" thickBot="1">
      <c r="B31" s="354"/>
      <c r="C31" s="363"/>
      <c r="D31" s="365"/>
      <c r="E31" s="366">
        <f>SUM(E30:F30)</f>
        <v>123040</v>
      </c>
      <c r="F31" s="367"/>
    </row>
    <row r="35" spans="2:6">
      <c r="B35" s="15" t="s">
        <v>29</v>
      </c>
      <c r="C35" s="16" t="s">
        <v>1</v>
      </c>
      <c r="D35" s="305" t="s">
        <v>144</v>
      </c>
      <c r="E35" s="68"/>
      <c r="F35" s="68"/>
    </row>
    <row r="36" spans="2:6">
      <c r="B36" s="18" t="s">
        <v>20</v>
      </c>
      <c r="C36" s="87">
        <f>+E8+E16</f>
        <v>83629</v>
      </c>
      <c r="D36" s="307">
        <f>(C36/$C$42)*100%</f>
        <v>0.74696094105878041</v>
      </c>
      <c r="E36" s="77"/>
      <c r="F36" s="68"/>
    </row>
    <row r="37" spans="2:6">
      <c r="B37" s="18" t="s">
        <v>26</v>
      </c>
      <c r="C37" s="87">
        <f>+E9</f>
        <v>8108</v>
      </c>
      <c r="D37" s="307">
        <f t="shared" ref="D37:D41" si="0">(C37/$C$42)*100%</f>
        <v>7.2419367804285498E-2</v>
      </c>
      <c r="E37" s="77"/>
      <c r="F37" s="77"/>
    </row>
    <row r="38" spans="2:6">
      <c r="B38" s="18" t="s">
        <v>23</v>
      </c>
      <c r="C38" s="87">
        <f>+E10</f>
        <v>11170</v>
      </c>
      <c r="D38" s="307">
        <f t="shared" si="0"/>
        <v>9.9768665314981381E-2</v>
      </c>
      <c r="E38" s="68"/>
      <c r="F38" s="77"/>
    </row>
    <row r="39" spans="2:6">
      <c r="B39" s="18" t="s">
        <v>17</v>
      </c>
      <c r="C39" s="87">
        <f>+E11</f>
        <v>6178</v>
      </c>
      <c r="D39" s="307">
        <f t="shared" si="0"/>
        <v>5.5180914441893908E-2</v>
      </c>
      <c r="E39" s="68"/>
      <c r="F39" s="77"/>
    </row>
    <row r="40" spans="2:6">
      <c r="B40" s="18" t="s">
        <v>103</v>
      </c>
      <c r="C40" s="87">
        <f>+E14</f>
        <v>2835</v>
      </c>
      <c r="D40" s="307">
        <f t="shared" si="0"/>
        <v>2.5321769576362774E-2</v>
      </c>
      <c r="E40" s="68"/>
      <c r="F40" s="68"/>
    </row>
    <row r="41" spans="2:6">
      <c r="B41" s="18" t="s">
        <v>93</v>
      </c>
      <c r="C41" s="87">
        <f>+E15+E17+E20+E26+E27+E29+E12+E23+E19</f>
        <v>39</v>
      </c>
      <c r="D41" s="307">
        <f t="shared" si="0"/>
        <v>3.4834180369599588E-4</v>
      </c>
      <c r="E41" s="68"/>
      <c r="F41" s="68"/>
    </row>
    <row r="42" spans="2:6">
      <c r="C42" s="331">
        <f>SUM(C36:C41)</f>
        <v>111959</v>
      </c>
      <c r="D42" s="332">
        <f>SUM(D36:D41)</f>
        <v>1</v>
      </c>
      <c r="E42" s="68"/>
      <c r="F42" s="77"/>
    </row>
    <row r="43" spans="2:6">
      <c r="E43" s="68"/>
      <c r="F43" s="77"/>
    </row>
    <row r="44" spans="2:6" ht="15.75" thickBot="1">
      <c r="E44" s="68"/>
      <c r="F44" s="77"/>
    </row>
    <row r="45" spans="2:6">
      <c r="B45" s="190" t="s">
        <v>29</v>
      </c>
      <c r="C45" s="306" t="s">
        <v>2</v>
      </c>
      <c r="D45" s="305" t="s">
        <v>144</v>
      </c>
      <c r="E45" s="68"/>
      <c r="F45" s="77"/>
    </row>
    <row r="46" spans="2:6">
      <c r="B46" s="4" t="s">
        <v>11</v>
      </c>
      <c r="C46" s="87">
        <f>+F4</f>
        <v>8807</v>
      </c>
      <c r="D46" s="309">
        <f>(C46/C49)*100%</f>
        <v>0.79478386427217762</v>
      </c>
      <c r="E46" s="68"/>
      <c r="F46" s="77"/>
    </row>
    <row r="47" spans="2:6">
      <c r="B47" s="18" t="s">
        <v>129</v>
      </c>
      <c r="C47" s="87">
        <f>+F6</f>
        <v>2270</v>
      </c>
      <c r="D47" s="309">
        <f>(C47/C49)*100%</f>
        <v>0.20485515747676203</v>
      </c>
      <c r="E47" s="68"/>
      <c r="F47" s="77"/>
    </row>
    <row r="48" spans="2:6" ht="15.75" thickBot="1">
      <c r="B48" s="19" t="s">
        <v>142</v>
      </c>
      <c r="C48" s="87">
        <v>4</v>
      </c>
      <c r="D48" s="309">
        <f>(C48/C49)*100%</f>
        <v>3.6097825106037363E-4</v>
      </c>
    </row>
    <row r="49" spans="2:6">
      <c r="C49" s="331">
        <f>SUM(C46:C48)</f>
        <v>11081</v>
      </c>
      <c r="D49" s="332">
        <f>SUM(D46:D48)</f>
        <v>1</v>
      </c>
    </row>
    <row r="51" spans="2:6" ht="15.75" thickBot="1"/>
    <row r="52" spans="2:6" ht="37.5" customHeight="1">
      <c r="B52" s="349" t="s">
        <v>196</v>
      </c>
      <c r="C52" s="350"/>
      <c r="D52" s="350"/>
      <c r="E52" s="350"/>
      <c r="F52" s="351"/>
    </row>
    <row r="53" spans="2:6" ht="35.25" customHeight="1">
      <c r="B53" s="359" t="s">
        <v>7</v>
      </c>
      <c r="C53" s="360"/>
      <c r="D53" s="15" t="s">
        <v>8</v>
      </c>
      <c r="E53" s="16" t="s">
        <v>1</v>
      </c>
      <c r="F53" s="17" t="s">
        <v>2</v>
      </c>
    </row>
    <row r="54" spans="2:6">
      <c r="B54" s="4" t="s">
        <v>9</v>
      </c>
      <c r="C54" s="18" t="s">
        <v>10</v>
      </c>
      <c r="D54" s="18" t="s">
        <v>11</v>
      </c>
      <c r="E54" s="65"/>
      <c r="F54" s="148">
        <f>3+9795</f>
        <v>9798</v>
      </c>
    </row>
    <row r="55" spans="2:6">
      <c r="B55" s="4" t="s">
        <v>123</v>
      </c>
      <c r="C55" s="18" t="s">
        <v>128</v>
      </c>
      <c r="D55" s="18" t="s">
        <v>129</v>
      </c>
      <c r="E55" s="65"/>
      <c r="F55" s="148">
        <v>1907</v>
      </c>
    </row>
    <row r="56" spans="2:6">
      <c r="B56" s="4" t="s">
        <v>143</v>
      </c>
      <c r="C56" s="18" t="s">
        <v>141</v>
      </c>
      <c r="D56" s="18" t="s">
        <v>142</v>
      </c>
      <c r="E56" s="65"/>
      <c r="F56" s="148"/>
    </row>
    <row r="57" spans="2:6">
      <c r="B57" s="4" t="s">
        <v>18</v>
      </c>
      <c r="C57" s="18" t="s">
        <v>19</v>
      </c>
      <c r="D57" s="18" t="s">
        <v>20</v>
      </c>
      <c r="E57" s="87"/>
      <c r="F57" s="148"/>
    </row>
    <row r="58" spans="2:6">
      <c r="B58" s="4" t="s">
        <v>24</v>
      </c>
      <c r="C58" s="18" t="s">
        <v>25</v>
      </c>
      <c r="D58" s="18" t="s">
        <v>189</v>
      </c>
      <c r="E58" s="87">
        <v>5045</v>
      </c>
      <c r="F58" s="148">
        <v>1899</v>
      </c>
    </row>
    <row r="59" spans="2:6">
      <c r="B59" s="4" t="s">
        <v>21</v>
      </c>
      <c r="C59" s="18" t="s">
        <v>22</v>
      </c>
      <c r="D59" s="18" t="s">
        <v>23</v>
      </c>
      <c r="E59" s="87">
        <v>11393</v>
      </c>
      <c r="F59" s="148">
        <v>51</v>
      </c>
    </row>
    <row r="60" spans="2:6">
      <c r="B60" s="4" t="s">
        <v>15</v>
      </c>
      <c r="C60" s="18" t="s">
        <v>16</v>
      </c>
      <c r="D60" s="18" t="s">
        <v>17</v>
      </c>
      <c r="E60" s="87">
        <v>2995</v>
      </c>
      <c r="F60" s="148"/>
    </row>
    <row r="61" spans="2:6">
      <c r="B61" s="4" t="s">
        <v>27</v>
      </c>
      <c r="C61" s="18" t="s">
        <v>113</v>
      </c>
      <c r="D61" s="18" t="s">
        <v>103</v>
      </c>
      <c r="E61" s="87">
        <v>3008</v>
      </c>
      <c r="F61" s="148"/>
    </row>
    <row r="62" spans="2:6">
      <c r="B62" s="4" t="s">
        <v>12</v>
      </c>
      <c r="C62" s="18" t="s">
        <v>13</v>
      </c>
      <c r="D62" s="18" t="s">
        <v>14</v>
      </c>
      <c r="E62" s="87">
        <f>18+78320</f>
        <v>78338</v>
      </c>
      <c r="F62" s="148">
        <v>23943</v>
      </c>
    </row>
    <row r="63" spans="2:6">
      <c r="B63" s="4" t="s">
        <v>145</v>
      </c>
      <c r="C63" s="18" t="s">
        <v>146</v>
      </c>
      <c r="D63" s="18" t="s">
        <v>148</v>
      </c>
      <c r="E63" s="87"/>
      <c r="F63" s="73"/>
    </row>
    <row r="64" spans="2:6">
      <c r="B64" s="4" t="s">
        <v>130</v>
      </c>
      <c r="C64" s="18" t="s">
        <v>147</v>
      </c>
      <c r="D64" s="18" t="s">
        <v>149</v>
      </c>
      <c r="E64" s="87"/>
      <c r="F64" s="73"/>
    </row>
    <row r="65" spans="2:6">
      <c r="B65" s="4" t="s">
        <v>173</v>
      </c>
      <c r="C65" s="18" t="s">
        <v>175</v>
      </c>
      <c r="D65" s="18" t="s">
        <v>174</v>
      </c>
      <c r="E65" s="87"/>
      <c r="F65" s="148"/>
    </row>
    <row r="66" spans="2:6" ht="14.25" customHeight="1">
      <c r="B66" s="4" t="s">
        <v>122</v>
      </c>
      <c r="C66" s="18" t="s">
        <v>124</v>
      </c>
      <c r="D66" s="18" t="s">
        <v>125</v>
      </c>
      <c r="E66" s="87"/>
      <c r="F66" s="73"/>
    </row>
    <row r="67" spans="2:6" ht="14.25" customHeight="1">
      <c r="B67" s="4" t="s">
        <v>112</v>
      </c>
      <c r="C67" s="18" t="s">
        <v>111</v>
      </c>
      <c r="D67" s="18" t="s">
        <v>110</v>
      </c>
      <c r="E67" s="87"/>
      <c r="F67" s="73"/>
    </row>
    <row r="68" spans="2:6" ht="14.25" customHeight="1">
      <c r="B68" s="4" t="s">
        <v>121</v>
      </c>
      <c r="C68" s="18" t="s">
        <v>126</v>
      </c>
      <c r="D68" s="18" t="s">
        <v>127</v>
      </c>
      <c r="E68" s="87">
        <v>3</v>
      </c>
      <c r="F68" s="73"/>
    </row>
    <row r="69" spans="2:6" ht="14.25" customHeight="1">
      <c r="B69" s="80" t="s">
        <v>119</v>
      </c>
      <c r="C69" s="149" t="s">
        <v>137</v>
      </c>
      <c r="D69" s="149" t="s">
        <v>136</v>
      </c>
      <c r="E69" s="87">
        <v>1</v>
      </c>
      <c r="F69" s="73"/>
    </row>
    <row r="70" spans="2:6" ht="14.25" customHeight="1">
      <c r="B70" s="80" t="s">
        <v>112</v>
      </c>
      <c r="C70" s="149" t="s">
        <v>172</v>
      </c>
      <c r="D70" s="149" t="s">
        <v>156</v>
      </c>
      <c r="E70" s="87">
        <v>38</v>
      </c>
      <c r="F70" s="73"/>
    </row>
    <row r="71" spans="2:6" ht="14.25" customHeight="1">
      <c r="B71" s="80" t="s">
        <v>195</v>
      </c>
      <c r="C71" s="149" t="s">
        <v>193</v>
      </c>
      <c r="D71" s="149" t="s">
        <v>194</v>
      </c>
      <c r="E71" s="87">
        <v>27</v>
      </c>
      <c r="F71" s="73"/>
    </row>
    <row r="72" spans="2:6" ht="14.25" customHeight="1">
      <c r="B72" s="80" t="s">
        <v>134</v>
      </c>
      <c r="C72" s="149" t="s">
        <v>138</v>
      </c>
      <c r="D72" s="149" t="s">
        <v>133</v>
      </c>
      <c r="E72" s="87"/>
      <c r="F72" s="73"/>
    </row>
    <row r="73" spans="2:6" ht="14.25" customHeight="1">
      <c r="B73" s="4" t="s">
        <v>150</v>
      </c>
      <c r="C73" s="18" t="s">
        <v>153</v>
      </c>
      <c r="D73" s="18" t="s">
        <v>154</v>
      </c>
      <c r="E73" s="87">
        <v>3</v>
      </c>
      <c r="F73" s="73"/>
    </row>
    <row r="74" spans="2:6" ht="14.25" customHeight="1">
      <c r="B74" s="80" t="s">
        <v>135</v>
      </c>
      <c r="C74" s="149" t="s">
        <v>139</v>
      </c>
      <c r="D74" s="149" t="s">
        <v>140</v>
      </c>
      <c r="E74" s="87"/>
      <c r="F74" s="73"/>
    </row>
    <row r="75" spans="2:6" ht="14.25" customHeight="1">
      <c r="B75" s="80" t="s">
        <v>105</v>
      </c>
      <c r="C75" s="149" t="s">
        <v>109</v>
      </c>
      <c r="D75" s="149" t="s">
        <v>104</v>
      </c>
      <c r="E75" s="87"/>
      <c r="F75" s="73"/>
    </row>
    <row r="76" spans="2:6" ht="15.75" thickBot="1">
      <c r="B76" s="352"/>
      <c r="C76" s="353"/>
      <c r="D76" s="369" t="s">
        <v>6</v>
      </c>
      <c r="E76" s="310">
        <f>SUM(E57:E75)</f>
        <v>100851</v>
      </c>
      <c r="F76" s="310">
        <f>SUM(F54:F75)</f>
        <v>37598</v>
      </c>
    </row>
    <row r="77" spans="2:6" ht="15.75" thickBot="1">
      <c r="B77" s="354"/>
      <c r="C77" s="355"/>
      <c r="D77" s="370"/>
      <c r="E77" s="380">
        <f>SUM(E76:F76)</f>
        <v>138449</v>
      </c>
      <c r="F77" s="381"/>
    </row>
    <row r="79" spans="2:6">
      <c r="F79" s="77"/>
    </row>
    <row r="80" spans="2:6">
      <c r="B80" s="15" t="s">
        <v>29</v>
      </c>
      <c r="C80" s="16" t="s">
        <v>1</v>
      </c>
      <c r="D80" s="305" t="s">
        <v>144</v>
      </c>
      <c r="E80" s="69"/>
      <c r="F80" s="77"/>
    </row>
    <row r="81" spans="2:6">
      <c r="B81" s="18" t="s">
        <v>20</v>
      </c>
      <c r="C81" s="87">
        <f>+E57+E62</f>
        <v>78338</v>
      </c>
      <c r="D81" s="307">
        <f>(C81/$C$42)*100%</f>
        <v>0.69970256969069033</v>
      </c>
      <c r="E81" s="69"/>
      <c r="F81" s="69"/>
    </row>
    <row r="82" spans="2:6">
      <c r="B82" s="18" t="s">
        <v>26</v>
      </c>
      <c r="C82" s="87">
        <f>+E58</f>
        <v>5045</v>
      </c>
      <c r="D82" s="307">
        <f t="shared" ref="D82:D86" si="1">(C82/$C$42)*100%</f>
        <v>4.5061138452469209E-2</v>
      </c>
      <c r="E82" s="69"/>
      <c r="F82" s="69"/>
    </row>
    <row r="83" spans="2:6" ht="19.5" customHeight="1">
      <c r="B83" s="18" t="s">
        <v>23</v>
      </c>
      <c r="C83" s="87">
        <f>+E59</f>
        <v>11393</v>
      </c>
      <c r="D83" s="307">
        <f t="shared" si="1"/>
        <v>0.10176046588483284</v>
      </c>
      <c r="E83" s="69"/>
      <c r="F83" s="69"/>
    </row>
    <row r="84" spans="2:6" ht="19.5" customHeight="1">
      <c r="B84" s="18" t="s">
        <v>17</v>
      </c>
      <c r="C84" s="87">
        <f>+E60</f>
        <v>2995</v>
      </c>
      <c r="D84" s="307">
        <f t="shared" si="1"/>
        <v>2.6750864155628398E-2</v>
      </c>
      <c r="E84" s="69"/>
      <c r="F84" s="69"/>
    </row>
    <row r="85" spans="2:6">
      <c r="B85" s="18" t="s">
        <v>103</v>
      </c>
      <c r="C85" s="87">
        <f>+E61</f>
        <v>3008</v>
      </c>
      <c r="D85" s="307">
        <f t="shared" si="1"/>
        <v>2.6866978090193731E-2</v>
      </c>
      <c r="E85" s="69"/>
      <c r="F85" s="69"/>
    </row>
    <row r="86" spans="2:6">
      <c r="B86" s="18" t="s">
        <v>93</v>
      </c>
      <c r="C86" s="87">
        <f>+E63+E70+E72+E71+E73+E68+E69</f>
        <v>72</v>
      </c>
      <c r="D86" s="307">
        <f t="shared" si="1"/>
        <v>6.4309256066953082E-4</v>
      </c>
      <c r="E86" s="55"/>
      <c r="F86" s="55"/>
    </row>
    <row r="87" spans="2:6">
      <c r="C87" s="331">
        <f>SUM(C81:C86)</f>
        <v>100851</v>
      </c>
      <c r="D87" s="337">
        <f>SUM(D81:D86)</f>
        <v>0.90078510883448404</v>
      </c>
      <c r="E87" s="55"/>
      <c r="F87" s="55"/>
    </row>
    <row r="88" spans="2:6">
      <c r="E88" s="55"/>
      <c r="F88" s="55"/>
    </row>
    <row r="89" spans="2:6" ht="15.75" thickBot="1">
      <c r="E89" s="70"/>
      <c r="F89" s="55"/>
    </row>
    <row r="90" spans="2:6">
      <c r="B90" s="190" t="s">
        <v>29</v>
      </c>
      <c r="C90" s="306" t="s">
        <v>2</v>
      </c>
      <c r="D90" s="305" t="s">
        <v>144</v>
      </c>
      <c r="E90" s="70"/>
      <c r="F90" s="70"/>
    </row>
    <row r="91" spans="2:6">
      <c r="B91" s="4" t="s">
        <v>11</v>
      </c>
      <c r="C91" s="87">
        <f>+F54</f>
        <v>9798</v>
      </c>
      <c r="D91" s="309">
        <f>(C91/C94)*100%</f>
        <v>0.26059896803021437</v>
      </c>
      <c r="E91" s="70"/>
      <c r="F91" s="70"/>
    </row>
    <row r="92" spans="2:6">
      <c r="B92" s="18" t="s">
        <v>129</v>
      </c>
      <c r="C92" s="87">
        <f>+F55</f>
        <v>1907</v>
      </c>
      <c r="D92" s="309">
        <f>(C92/C94)*100%</f>
        <v>5.0720783020373424E-2</v>
      </c>
      <c r="E92" s="70"/>
      <c r="F92" s="70"/>
    </row>
    <row r="93" spans="2:6" ht="15.75" thickBot="1">
      <c r="B93" s="19" t="s">
        <v>93</v>
      </c>
      <c r="C93" s="87">
        <f>+F57+F58+F59+F65+F62</f>
        <v>25893</v>
      </c>
      <c r="D93" s="309">
        <f>(C93/C94)*100%</f>
        <v>0.68868024894941215</v>
      </c>
      <c r="E93" s="71"/>
      <c r="F93" s="71"/>
    </row>
    <row r="94" spans="2:6">
      <c r="C94" s="331">
        <f>SUM(C91:C93)</f>
        <v>37598</v>
      </c>
      <c r="D94" s="332">
        <f>SUM(D91:D93)</f>
        <v>1</v>
      </c>
      <c r="E94" s="71"/>
      <c r="F94" s="71"/>
    </row>
    <row r="95" spans="2:6">
      <c r="E95" s="71"/>
      <c r="F95" s="71"/>
    </row>
    <row r="96" spans="2:6" ht="15.75" thickBot="1">
      <c r="F96" s="71"/>
    </row>
    <row r="97" spans="2:6" ht="26.25" customHeight="1" thickBot="1">
      <c r="B97" s="382" t="s">
        <v>197</v>
      </c>
      <c r="C97" s="383"/>
      <c r="D97" s="383"/>
      <c r="E97" s="384"/>
    </row>
    <row r="98" spans="2:6" ht="30.75" thickBot="1">
      <c r="B98" s="297" t="s">
        <v>28</v>
      </c>
      <c r="C98" s="298" t="s">
        <v>0</v>
      </c>
      <c r="D98" s="299" t="s">
        <v>29</v>
      </c>
      <c r="E98" s="300" t="s">
        <v>8</v>
      </c>
    </row>
    <row r="99" spans="2:6">
      <c r="B99" s="251" t="s">
        <v>30</v>
      </c>
      <c r="C99" s="252" t="s">
        <v>3</v>
      </c>
      <c r="D99" s="253">
        <v>173</v>
      </c>
      <c r="E99" s="254">
        <v>173</v>
      </c>
      <c r="F99" s="8"/>
    </row>
    <row r="100" spans="2:6">
      <c r="B100" s="4" t="s">
        <v>31</v>
      </c>
      <c r="C100" s="18" t="s">
        <v>4</v>
      </c>
      <c r="D100" s="87">
        <v>502</v>
      </c>
      <c r="E100" s="148">
        <v>504</v>
      </c>
      <c r="F100" s="8"/>
    </row>
    <row r="101" spans="2:6">
      <c r="B101" s="4" t="s">
        <v>5</v>
      </c>
      <c r="C101" s="18" t="s">
        <v>5</v>
      </c>
      <c r="D101" s="87">
        <v>60</v>
      </c>
      <c r="E101" s="148">
        <v>61</v>
      </c>
      <c r="F101" s="8"/>
    </row>
    <row r="102" spans="2:6">
      <c r="B102" s="4" t="s">
        <v>97</v>
      </c>
      <c r="C102" s="18" t="s">
        <v>97</v>
      </c>
      <c r="D102" s="87">
        <v>148</v>
      </c>
      <c r="E102" s="148">
        <v>148</v>
      </c>
      <c r="F102" s="8"/>
    </row>
    <row r="103" spans="2:6" ht="15.75" thickBot="1">
      <c r="B103" s="19" t="s">
        <v>108</v>
      </c>
      <c r="C103" s="255" t="s">
        <v>101</v>
      </c>
      <c r="D103" s="256">
        <v>89</v>
      </c>
      <c r="E103" s="191">
        <v>89</v>
      </c>
      <c r="F103" s="8"/>
    </row>
    <row r="104" spans="2:6" ht="15.75" thickBot="1">
      <c r="B104" s="371" t="s">
        <v>117</v>
      </c>
      <c r="C104" s="372"/>
      <c r="D104" s="241">
        <f>SUM(D99:D103)</f>
        <v>972</v>
      </c>
      <c r="E104" s="242">
        <f>SUM(E99:E103)</f>
        <v>975</v>
      </c>
      <c r="F104" s="8"/>
    </row>
    <row r="105" spans="2:6" ht="15.75" thickBot="1">
      <c r="B105" s="373"/>
      <c r="C105" s="374"/>
      <c r="D105" s="375">
        <f>+D104+E104</f>
        <v>1947</v>
      </c>
      <c r="E105" s="376"/>
      <c r="F105" s="8"/>
    </row>
    <row r="106" spans="2:6">
      <c r="B106" s="243" t="s">
        <v>102</v>
      </c>
      <c r="C106" s="244" t="s">
        <v>115</v>
      </c>
      <c r="D106" s="245">
        <v>153</v>
      </c>
      <c r="E106" s="246">
        <v>154</v>
      </c>
      <c r="F106" s="8"/>
    </row>
    <row r="107" spans="2:6" ht="15.75" thickBot="1">
      <c r="B107" s="247" t="s">
        <v>114</v>
      </c>
      <c r="C107" s="248" t="s">
        <v>116</v>
      </c>
      <c r="D107" s="249">
        <v>17</v>
      </c>
      <c r="E107" s="250">
        <v>17</v>
      </c>
      <c r="F107" s="8"/>
    </row>
    <row r="108" spans="2:6" ht="15.75" thickBot="1">
      <c r="B108" s="371" t="s">
        <v>118</v>
      </c>
      <c r="C108" s="372"/>
      <c r="D108" s="241">
        <f>SUM(D106:D107)</f>
        <v>170</v>
      </c>
      <c r="E108" s="242">
        <f>SUM(E106:E107)</f>
        <v>171</v>
      </c>
      <c r="F108" s="8"/>
    </row>
    <row r="109" spans="2:6" ht="20.25" customHeight="1" thickBot="1">
      <c r="B109" s="373"/>
      <c r="C109" s="374"/>
      <c r="D109" s="375">
        <f>+D108+E108</f>
        <v>341</v>
      </c>
      <c r="E109" s="376"/>
    </row>
    <row r="110" spans="2:6" ht="27.75" customHeight="1" thickBot="1">
      <c r="B110" s="377" t="s">
        <v>162</v>
      </c>
      <c r="C110" s="378"/>
      <c r="D110" s="379">
        <f>(D105+D109)</f>
        <v>2288</v>
      </c>
      <c r="E110" s="378"/>
    </row>
    <row r="111" spans="2:6" ht="15.75" thickBot="1">
      <c r="D111" s="48"/>
    </row>
    <row r="112" spans="2:6">
      <c r="B112" s="20" t="s">
        <v>0</v>
      </c>
      <c r="C112" s="21" t="s">
        <v>29</v>
      </c>
    </row>
    <row r="113" spans="2:5">
      <c r="B113" s="18" t="s">
        <v>4</v>
      </c>
      <c r="C113" s="72">
        <f>+D100</f>
        <v>502</v>
      </c>
      <c r="D113" s="61"/>
      <c r="E113" s="62"/>
    </row>
    <row r="114" spans="2:5">
      <c r="B114" s="18" t="s">
        <v>115</v>
      </c>
      <c r="C114" s="72">
        <f>+D106</f>
        <v>153</v>
      </c>
      <c r="D114" s="61"/>
      <c r="E114" s="62"/>
    </row>
    <row r="115" spans="2:5">
      <c r="B115" s="18" t="s">
        <v>3</v>
      </c>
      <c r="C115" s="72">
        <f>+D99</f>
        <v>173</v>
      </c>
      <c r="D115" s="61"/>
      <c r="E115" s="62"/>
    </row>
    <row r="116" spans="2:5">
      <c r="B116" s="18" t="s">
        <v>97</v>
      </c>
      <c r="C116" s="72">
        <f>+D102</f>
        <v>148</v>
      </c>
      <c r="D116" s="61"/>
      <c r="E116" s="62"/>
    </row>
    <row r="117" spans="2:5">
      <c r="B117" s="18" t="s">
        <v>101</v>
      </c>
      <c r="C117" s="72">
        <f>+D103</f>
        <v>89</v>
      </c>
      <c r="D117" s="61"/>
      <c r="E117" s="62"/>
    </row>
    <row r="118" spans="2:5">
      <c r="B118" s="18" t="s">
        <v>5</v>
      </c>
      <c r="C118" s="72">
        <f>+D101</f>
        <v>60</v>
      </c>
      <c r="D118" s="61"/>
      <c r="E118" s="62"/>
    </row>
    <row r="119" spans="2:5">
      <c r="B119" s="18" t="s">
        <v>116</v>
      </c>
      <c r="C119" s="72">
        <f>+D107</f>
        <v>17</v>
      </c>
      <c r="D119" s="61"/>
      <c r="E119" s="62"/>
    </row>
    <row r="120" spans="2:5">
      <c r="B120" s="54"/>
      <c r="C120" s="336">
        <f>SUM(C113:C119)</f>
        <v>1142</v>
      </c>
      <c r="D120" s="61"/>
      <c r="E120" s="62"/>
    </row>
    <row r="122" spans="2:5">
      <c r="B122" s="311" t="s">
        <v>0</v>
      </c>
      <c r="C122" s="2" t="s">
        <v>8</v>
      </c>
    </row>
    <row r="123" spans="2:5">
      <c r="B123" s="18" t="s">
        <v>4</v>
      </c>
      <c r="C123" s="72">
        <f>+E100</f>
        <v>504</v>
      </c>
    </row>
    <row r="124" spans="2:5">
      <c r="B124" s="18" t="s">
        <v>115</v>
      </c>
      <c r="C124" s="72">
        <f>+E106</f>
        <v>154</v>
      </c>
    </row>
    <row r="125" spans="2:5">
      <c r="B125" s="18" t="s">
        <v>3</v>
      </c>
      <c r="C125" s="72">
        <f>+E99</f>
        <v>173</v>
      </c>
    </row>
    <row r="126" spans="2:5">
      <c r="B126" s="18" t="s">
        <v>97</v>
      </c>
      <c r="C126" s="72">
        <f>+E102</f>
        <v>148</v>
      </c>
    </row>
    <row r="127" spans="2:5">
      <c r="B127" s="18" t="s">
        <v>101</v>
      </c>
      <c r="C127" s="72">
        <f>+E103</f>
        <v>89</v>
      </c>
    </row>
    <row r="128" spans="2:5">
      <c r="B128" s="18" t="s">
        <v>5</v>
      </c>
      <c r="C128" s="72">
        <f>+E101</f>
        <v>61</v>
      </c>
    </row>
    <row r="129" spans="2:4">
      <c r="B129" s="18" t="s">
        <v>116</v>
      </c>
      <c r="C129" s="72">
        <f>+E107</f>
        <v>17</v>
      </c>
    </row>
    <row r="130" spans="2:4">
      <c r="B130" s="54"/>
      <c r="C130" s="336">
        <f>SUM(C123:C129)</f>
        <v>1146</v>
      </c>
    </row>
    <row r="132" spans="2:4">
      <c r="B132" s="368" t="s">
        <v>32</v>
      </c>
      <c r="C132" s="368"/>
    </row>
    <row r="133" spans="2:4">
      <c r="B133" s="311" t="s">
        <v>0</v>
      </c>
      <c r="C133" s="312" t="s">
        <v>33</v>
      </c>
      <c r="D133" s="92"/>
    </row>
    <row r="134" spans="2:4">
      <c r="B134" s="18" t="s">
        <v>3</v>
      </c>
      <c r="C134" s="87">
        <f>C115+C125</f>
        <v>346</v>
      </c>
      <c r="D134" s="217"/>
    </row>
    <row r="135" spans="2:4">
      <c r="B135" s="18" t="s">
        <v>4</v>
      </c>
      <c r="C135" s="87">
        <f>C113+C123</f>
        <v>1006</v>
      </c>
      <c r="D135" s="217"/>
    </row>
    <row r="136" spans="2:4">
      <c r="B136" s="18" t="s">
        <v>97</v>
      </c>
      <c r="C136" s="87">
        <f>C116+C126</f>
        <v>296</v>
      </c>
      <c r="D136" s="217"/>
    </row>
    <row r="137" spans="2:4">
      <c r="B137" s="18" t="s">
        <v>101</v>
      </c>
      <c r="C137" s="87">
        <f>C117+C127</f>
        <v>178</v>
      </c>
      <c r="D137" s="217"/>
    </row>
    <row r="138" spans="2:4">
      <c r="B138" s="18" t="s">
        <v>115</v>
      </c>
      <c r="C138" s="72">
        <f>C114+C124</f>
        <v>307</v>
      </c>
      <c r="D138" s="188"/>
    </row>
    <row r="139" spans="2:4">
      <c r="B139" s="18" t="s">
        <v>116</v>
      </c>
      <c r="C139" s="313">
        <f>C119+C129</f>
        <v>34</v>
      </c>
      <c r="D139" s="22"/>
    </row>
    <row r="140" spans="2:4">
      <c r="B140" s="308"/>
      <c r="C140" s="333">
        <f>SUM(C134:C139)</f>
        <v>2167</v>
      </c>
      <c r="D140" s="22"/>
    </row>
    <row r="141" spans="2:4">
      <c r="B141" s="54"/>
      <c r="C141" s="338"/>
      <c r="D141" s="22"/>
    </row>
    <row r="142" spans="2:4">
      <c r="B142" s="368" t="s">
        <v>34</v>
      </c>
      <c r="C142" s="368"/>
      <c r="D142" s="22"/>
    </row>
    <row r="143" spans="2:4" ht="14.25" customHeight="1">
      <c r="B143" s="311" t="s">
        <v>0</v>
      </c>
      <c r="C143" s="312" t="s">
        <v>33</v>
      </c>
      <c r="D143" s="314"/>
    </row>
    <row r="144" spans="2:4" ht="14.25" customHeight="1">
      <c r="B144" s="18" t="s">
        <v>5</v>
      </c>
      <c r="C144" s="72">
        <f>C128+C118</f>
        <v>121</v>
      </c>
      <c r="D144" s="217"/>
    </row>
    <row r="145" spans="2:4" ht="14.25" customHeight="1">
      <c r="B145" s="18"/>
      <c r="C145" s="72">
        <f>+C144</f>
        <v>121</v>
      </c>
      <c r="D145" s="217"/>
    </row>
    <row r="146" spans="2:4" ht="14.25" customHeight="1">
      <c r="B146" s="54"/>
      <c r="C146" s="164"/>
      <c r="D146" s="217"/>
    </row>
    <row r="147" spans="2:4">
      <c r="B147" s="368" t="s">
        <v>94</v>
      </c>
      <c r="C147" s="368"/>
    </row>
    <row r="148" spans="2:4">
      <c r="B148" s="311" t="s">
        <v>0</v>
      </c>
      <c r="C148" s="312" t="s">
        <v>33</v>
      </c>
    </row>
    <row r="149" spans="2:4">
      <c r="B149" s="18" t="s">
        <v>4</v>
      </c>
      <c r="C149" s="87">
        <f>+C135</f>
        <v>1006</v>
      </c>
      <c r="D149" s="217"/>
    </row>
    <row r="150" spans="2:4">
      <c r="B150" s="18" t="s">
        <v>3</v>
      </c>
      <c r="C150" s="87">
        <f>+C134</f>
        <v>346</v>
      </c>
      <c r="D150" s="217"/>
    </row>
    <row r="151" spans="2:4">
      <c r="B151" s="18" t="s">
        <v>97</v>
      </c>
      <c r="C151" s="87">
        <f>+C136</f>
        <v>296</v>
      </c>
      <c r="D151" s="217"/>
    </row>
    <row r="152" spans="2:4">
      <c r="B152" s="18" t="s">
        <v>101</v>
      </c>
      <c r="C152" s="87">
        <f>+C137</f>
        <v>178</v>
      </c>
      <c r="D152" s="217"/>
    </row>
    <row r="153" spans="2:4">
      <c r="B153" s="18" t="s">
        <v>5</v>
      </c>
      <c r="C153" s="87">
        <f>+C144</f>
        <v>121</v>
      </c>
      <c r="D153" s="217"/>
    </row>
    <row r="154" spans="2:4">
      <c r="B154" s="18" t="s">
        <v>115</v>
      </c>
      <c r="C154" s="87">
        <f>+C138</f>
        <v>307</v>
      </c>
      <c r="D154" s="217"/>
    </row>
    <row r="155" spans="2:4">
      <c r="B155" s="18" t="s">
        <v>116</v>
      </c>
      <c r="C155" s="87">
        <f>+C139</f>
        <v>34</v>
      </c>
      <c r="D155" s="217"/>
    </row>
    <row r="156" spans="2:4" ht="14.25" customHeight="1">
      <c r="C156" s="331">
        <f>C149+C150+C151+C153+C152+C154+C155</f>
        <v>2288</v>
      </c>
    </row>
    <row r="166" spans="2:2">
      <c r="B166" s="164"/>
    </row>
    <row r="167" spans="2:2">
      <c r="B167" s="164"/>
    </row>
    <row r="168" spans="2:2">
      <c r="B168" s="164"/>
    </row>
    <row r="169" spans="2:2">
      <c r="B169" s="164"/>
    </row>
    <row r="170" spans="2:2">
      <c r="B170" s="164"/>
    </row>
    <row r="171" spans="2:2">
      <c r="B171" s="164"/>
    </row>
  </sheetData>
  <mergeCells count="20">
    <mergeCell ref="B132:C132"/>
    <mergeCell ref="B142:C142"/>
    <mergeCell ref="B147:C147"/>
    <mergeCell ref="B53:C53"/>
    <mergeCell ref="D76:D77"/>
    <mergeCell ref="B108:C109"/>
    <mergeCell ref="D109:E109"/>
    <mergeCell ref="B110:C110"/>
    <mergeCell ref="D110:E110"/>
    <mergeCell ref="E77:F77"/>
    <mergeCell ref="B97:E97"/>
    <mergeCell ref="B104:C105"/>
    <mergeCell ref="D105:E105"/>
    <mergeCell ref="B52:F52"/>
    <mergeCell ref="B76:C77"/>
    <mergeCell ref="B2:F2"/>
    <mergeCell ref="B3:C3"/>
    <mergeCell ref="B30:C31"/>
    <mergeCell ref="D30:D31"/>
    <mergeCell ref="E31:F3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76"/>
  <sheetViews>
    <sheetView tabSelected="1" view="pageBreakPreview" topLeftCell="A136" zoomScaleNormal="100" zoomScaleSheetLayoutView="100" workbookViewId="0">
      <selection activeCell="G89" sqref="G89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5" customWidth="1"/>
    <col min="13" max="13" width="13.42578125" customWidth="1"/>
    <col min="15" max="15" width="33.4257812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2" spans="2:13" ht="24" customHeight="1" thickBot="1">
      <c r="B2" s="385" t="s">
        <v>170</v>
      </c>
      <c r="C2" s="386"/>
      <c r="D2" s="386"/>
      <c r="E2" s="386"/>
      <c r="F2" s="386"/>
      <c r="G2" s="386"/>
      <c r="H2" s="386"/>
      <c r="I2" s="386"/>
      <c r="J2" s="386"/>
      <c r="K2" s="386"/>
      <c r="L2" s="386"/>
      <c r="M2" s="386"/>
    </row>
    <row r="3" spans="2:13" ht="16.5" thickBot="1">
      <c r="B3" s="194" t="s">
        <v>35</v>
      </c>
      <c r="C3" s="195">
        <v>2016</v>
      </c>
      <c r="D3" s="195">
        <v>2017</v>
      </c>
      <c r="E3" s="195">
        <v>2018</v>
      </c>
      <c r="F3" s="195">
        <v>2019</v>
      </c>
      <c r="G3" s="195">
        <v>2020</v>
      </c>
      <c r="H3" s="195">
        <v>2021</v>
      </c>
      <c r="I3" s="195">
        <v>2022</v>
      </c>
      <c r="J3" s="195">
        <v>2023</v>
      </c>
      <c r="K3" s="195">
        <v>2024</v>
      </c>
      <c r="L3" s="196">
        <v>2025</v>
      </c>
      <c r="M3" s="196">
        <v>2026</v>
      </c>
    </row>
    <row r="4" spans="2:13" ht="15.75">
      <c r="B4" s="199" t="s">
        <v>36</v>
      </c>
      <c r="C4" s="197">
        <v>1727</v>
      </c>
      <c r="D4" s="193">
        <v>1818</v>
      </c>
      <c r="E4" s="193">
        <v>2399</v>
      </c>
      <c r="F4" s="193">
        <v>2241</v>
      </c>
      <c r="G4" s="193">
        <v>2333</v>
      </c>
      <c r="H4" s="193">
        <v>1418</v>
      </c>
      <c r="I4" s="193">
        <v>2314</v>
      </c>
      <c r="J4" s="193">
        <v>2050</v>
      </c>
      <c r="K4" s="193">
        <v>2090</v>
      </c>
      <c r="L4" s="229">
        <v>2146</v>
      </c>
      <c r="M4" s="229">
        <v>2288</v>
      </c>
    </row>
    <row r="5" spans="2:13" ht="15.75">
      <c r="B5" s="200" t="s">
        <v>37</v>
      </c>
      <c r="C5" s="198">
        <v>1809</v>
      </c>
      <c r="D5" s="23">
        <v>1594</v>
      </c>
      <c r="E5" s="23">
        <v>2287</v>
      </c>
      <c r="F5" s="23">
        <v>2053</v>
      </c>
      <c r="G5" s="23">
        <v>2061</v>
      </c>
      <c r="H5" s="23">
        <v>1266</v>
      </c>
      <c r="I5" s="23">
        <v>2128</v>
      </c>
      <c r="J5" s="23">
        <v>1957</v>
      </c>
      <c r="K5" s="23">
        <v>2063</v>
      </c>
      <c r="L5" s="229">
        <v>1926</v>
      </c>
      <c r="M5" s="229"/>
    </row>
    <row r="6" spans="2:13" ht="15.75">
      <c r="B6" s="200" t="s">
        <v>38</v>
      </c>
      <c r="C6" s="198">
        <v>1740</v>
      </c>
      <c r="D6" s="23">
        <v>1763</v>
      </c>
      <c r="E6" s="23">
        <v>2327</v>
      </c>
      <c r="F6" s="23">
        <v>2123</v>
      </c>
      <c r="G6" s="23">
        <v>1476</v>
      </c>
      <c r="H6" s="23">
        <v>1547</v>
      </c>
      <c r="I6" s="23">
        <v>2452</v>
      </c>
      <c r="J6" s="23">
        <v>1776</v>
      </c>
      <c r="K6" s="23">
        <v>2106</v>
      </c>
      <c r="L6" s="229">
        <v>2148</v>
      </c>
      <c r="M6" s="229"/>
    </row>
    <row r="7" spans="2:13" ht="15.75">
      <c r="B7" s="200" t="s">
        <v>39</v>
      </c>
      <c r="C7" s="198">
        <v>1678</v>
      </c>
      <c r="D7" s="23">
        <v>1688</v>
      </c>
      <c r="E7" s="23">
        <v>2096</v>
      </c>
      <c r="F7" s="23">
        <v>2020</v>
      </c>
      <c r="G7" s="23">
        <v>60</v>
      </c>
      <c r="H7" s="23">
        <v>1441</v>
      </c>
      <c r="I7" s="23">
        <v>2299</v>
      </c>
      <c r="J7" s="23">
        <v>1676</v>
      </c>
      <c r="K7" s="23">
        <v>2140</v>
      </c>
      <c r="L7" s="229">
        <v>1821</v>
      </c>
      <c r="M7" s="229"/>
    </row>
    <row r="8" spans="2:13" ht="15.75">
      <c r="B8" s="200" t="s">
        <v>40</v>
      </c>
      <c r="C8" s="198">
        <v>1583</v>
      </c>
      <c r="D8" s="23">
        <v>1772</v>
      </c>
      <c r="E8" s="23">
        <v>2249</v>
      </c>
      <c r="F8" s="23">
        <v>2076</v>
      </c>
      <c r="G8" s="23">
        <v>123</v>
      </c>
      <c r="H8" s="23">
        <v>2005</v>
      </c>
      <c r="I8" s="23">
        <v>2424</v>
      </c>
      <c r="J8" s="23">
        <v>1812</v>
      </c>
      <c r="K8" s="23">
        <v>2227</v>
      </c>
      <c r="L8" s="229">
        <v>1765</v>
      </c>
      <c r="M8" s="229"/>
    </row>
    <row r="9" spans="2:13" ht="15.75">
      <c r="B9" s="200" t="s">
        <v>41</v>
      </c>
      <c r="C9" s="198">
        <v>1721</v>
      </c>
      <c r="D9" s="23">
        <v>1822</v>
      </c>
      <c r="E9" s="23">
        <v>2153</v>
      </c>
      <c r="F9" s="23">
        <v>1938</v>
      </c>
      <c r="G9" s="23">
        <v>241</v>
      </c>
      <c r="H9" s="23">
        <v>1773</v>
      </c>
      <c r="I9" s="23">
        <v>2298</v>
      </c>
      <c r="J9" s="23">
        <v>1807</v>
      </c>
      <c r="K9" s="23">
        <v>2071</v>
      </c>
      <c r="L9" s="229">
        <v>1874</v>
      </c>
      <c r="M9" s="229"/>
    </row>
    <row r="10" spans="2:13" ht="15.75">
      <c r="B10" s="200" t="s">
        <v>42</v>
      </c>
      <c r="C10" s="198">
        <v>1748</v>
      </c>
      <c r="D10" s="23">
        <v>1863</v>
      </c>
      <c r="E10" s="23">
        <v>2164</v>
      </c>
      <c r="F10" s="23">
        <v>2244</v>
      </c>
      <c r="G10" s="23">
        <v>292</v>
      </c>
      <c r="H10" s="23">
        <v>1894</v>
      </c>
      <c r="I10" s="23">
        <v>2307</v>
      </c>
      <c r="J10" s="23">
        <v>1836</v>
      </c>
      <c r="K10" s="23">
        <v>2278</v>
      </c>
      <c r="L10" s="229">
        <v>2010</v>
      </c>
      <c r="M10" s="229"/>
    </row>
    <row r="11" spans="2:13" ht="15.75">
      <c r="B11" s="200" t="s">
        <v>43</v>
      </c>
      <c r="C11" s="198">
        <v>1919</v>
      </c>
      <c r="D11" s="23">
        <v>2036</v>
      </c>
      <c r="E11" s="23">
        <v>2719</v>
      </c>
      <c r="F11" s="23">
        <v>2475</v>
      </c>
      <c r="G11" s="23">
        <v>335</v>
      </c>
      <c r="H11" s="23">
        <v>1898</v>
      </c>
      <c r="I11" s="23">
        <v>2374</v>
      </c>
      <c r="J11" s="23">
        <v>1974</v>
      </c>
      <c r="K11" s="23">
        <v>2364</v>
      </c>
      <c r="L11" s="315">
        <v>2115</v>
      </c>
      <c r="M11" s="315"/>
    </row>
    <row r="12" spans="2:13" ht="15.75">
      <c r="B12" s="200" t="s">
        <v>44</v>
      </c>
      <c r="C12" s="198">
        <v>1857</v>
      </c>
      <c r="D12" s="23">
        <v>1414</v>
      </c>
      <c r="E12" s="23">
        <v>2257</v>
      </c>
      <c r="F12" s="23">
        <v>2049</v>
      </c>
      <c r="G12" s="23">
        <v>777</v>
      </c>
      <c r="H12" s="23">
        <v>1854</v>
      </c>
      <c r="I12" s="23">
        <v>2235</v>
      </c>
      <c r="J12" s="23">
        <v>1882</v>
      </c>
      <c r="K12" s="23">
        <v>2078</v>
      </c>
      <c r="L12" s="315">
        <v>2012</v>
      </c>
      <c r="M12" s="315"/>
    </row>
    <row r="13" spans="2:13" ht="15.75">
      <c r="B13" s="200" t="s">
        <v>45</v>
      </c>
      <c r="C13" s="198">
        <v>1920</v>
      </c>
      <c r="D13" s="23">
        <v>1541</v>
      </c>
      <c r="E13" s="23">
        <v>2298</v>
      </c>
      <c r="F13" s="23">
        <v>2382</v>
      </c>
      <c r="G13" s="23">
        <v>956</v>
      </c>
      <c r="H13" s="23">
        <v>1988</v>
      </c>
      <c r="I13" s="23">
        <v>2193</v>
      </c>
      <c r="J13" s="23">
        <v>2064</v>
      </c>
      <c r="K13" s="23">
        <v>2148</v>
      </c>
      <c r="L13" s="315">
        <v>2162</v>
      </c>
      <c r="M13" s="315"/>
    </row>
    <row r="14" spans="2:13" ht="15.75">
      <c r="B14" s="200" t="s">
        <v>46</v>
      </c>
      <c r="C14" s="198">
        <v>1737</v>
      </c>
      <c r="D14" s="23">
        <v>2158</v>
      </c>
      <c r="E14" s="23">
        <v>2294</v>
      </c>
      <c r="F14" s="23">
        <v>2186</v>
      </c>
      <c r="G14" s="23">
        <v>978</v>
      </c>
      <c r="H14" s="23">
        <v>2092</v>
      </c>
      <c r="I14" s="23">
        <v>2084</v>
      </c>
      <c r="J14" s="23">
        <v>2608</v>
      </c>
      <c r="K14" s="23">
        <v>2072</v>
      </c>
      <c r="L14" s="315">
        <v>2222</v>
      </c>
      <c r="M14" s="315"/>
    </row>
    <row r="15" spans="2:13" ht="16.5" thickBot="1">
      <c r="B15" s="201" t="s">
        <v>47</v>
      </c>
      <c r="C15" s="202">
        <v>1873</v>
      </c>
      <c r="D15" s="203">
        <v>2431</v>
      </c>
      <c r="E15" s="203">
        <v>2450</v>
      </c>
      <c r="F15" s="203">
        <v>2342</v>
      </c>
      <c r="G15" s="203">
        <v>1308</v>
      </c>
      <c r="H15" s="203">
        <v>2284</v>
      </c>
      <c r="I15" s="203">
        <v>2074</v>
      </c>
      <c r="J15" s="203">
        <v>2413</v>
      </c>
      <c r="K15" s="203">
        <v>2153</v>
      </c>
      <c r="L15" s="316">
        <v>2284</v>
      </c>
      <c r="M15" s="316"/>
    </row>
    <row r="16" spans="2:13" ht="16.5" thickBot="1">
      <c r="B16" s="204" t="s">
        <v>6</v>
      </c>
      <c r="C16" s="205">
        <f>SUM(C4:C15)</f>
        <v>21312</v>
      </c>
      <c r="D16" s="206">
        <f t="shared" ref="D16:K16" si="0">SUM(D4:D15)</f>
        <v>21900</v>
      </c>
      <c r="E16" s="206">
        <f t="shared" si="0"/>
        <v>27693</v>
      </c>
      <c r="F16" s="206">
        <f t="shared" si="0"/>
        <v>26129</v>
      </c>
      <c r="G16" s="206">
        <f t="shared" si="0"/>
        <v>10940</v>
      </c>
      <c r="H16" s="206">
        <f t="shared" si="0"/>
        <v>21460</v>
      </c>
      <c r="I16" s="206">
        <f t="shared" si="0"/>
        <v>27182</v>
      </c>
      <c r="J16" s="206">
        <f t="shared" si="0"/>
        <v>23855</v>
      </c>
      <c r="K16" s="206">
        <f t="shared" si="0"/>
        <v>25790</v>
      </c>
      <c r="L16" s="230">
        <f>SUM(L4:L15)</f>
        <v>24485</v>
      </c>
      <c r="M16" s="230">
        <f>SUM(M4:M15)</f>
        <v>2288</v>
      </c>
    </row>
    <row r="19" spans="2:11" ht="15.75">
      <c r="J19" s="179"/>
      <c r="K19" s="179"/>
    </row>
    <row r="20" spans="2:11" ht="15.75">
      <c r="J20" s="179"/>
      <c r="K20" s="179"/>
    </row>
    <row r="21" spans="2:11" ht="15.75">
      <c r="J21" s="179"/>
      <c r="K21" s="179"/>
    </row>
    <row r="22" spans="2:11" ht="15.75">
      <c r="J22" s="179"/>
      <c r="K22" s="179"/>
    </row>
    <row r="23" spans="2:11" ht="15.75">
      <c r="J23" s="179"/>
      <c r="K23" s="179"/>
    </row>
    <row r="24" spans="2:11" ht="15.75">
      <c r="J24" s="179"/>
      <c r="K24" s="179"/>
    </row>
    <row r="25" spans="2:11" ht="15.75">
      <c r="J25" s="179"/>
      <c r="K25" s="179"/>
    </row>
    <row r="26" spans="2:11" ht="15.75">
      <c r="J26" s="179"/>
      <c r="K26" s="179"/>
    </row>
    <row r="27" spans="2:11" ht="15.75">
      <c r="J27" s="179"/>
      <c r="K27" s="179"/>
    </row>
    <row r="28" spans="2:11" ht="15.75">
      <c r="J28" s="179"/>
    </row>
    <row r="29" spans="2:11" ht="15.75">
      <c r="J29" s="179"/>
    </row>
    <row r="30" spans="2:11" ht="15.75">
      <c r="J30" s="179"/>
    </row>
    <row r="31" spans="2:11" ht="15.75" thickBot="1"/>
    <row r="32" spans="2:11" ht="26.25" customHeight="1" thickBot="1">
      <c r="B32" s="401" t="s">
        <v>171</v>
      </c>
      <c r="C32" s="402"/>
      <c r="D32" s="402"/>
      <c r="E32" s="402"/>
      <c r="F32" s="402"/>
      <c r="G32" s="402"/>
      <c r="H32" s="402"/>
      <c r="I32" s="402"/>
      <c r="J32" s="402"/>
      <c r="K32" s="403"/>
    </row>
    <row r="33" spans="2:16" ht="18" customHeight="1">
      <c r="B33" s="404" t="s">
        <v>48</v>
      </c>
      <c r="C33" s="406">
        <v>2024</v>
      </c>
      <c r="D33" s="407"/>
      <c r="E33" s="407"/>
      <c r="F33" s="408" t="s">
        <v>6</v>
      </c>
      <c r="G33" s="406">
        <v>2025</v>
      </c>
      <c r="H33" s="407"/>
      <c r="I33" s="407"/>
      <c r="J33" s="408" t="s">
        <v>6</v>
      </c>
      <c r="K33" s="390" t="s">
        <v>107</v>
      </c>
    </row>
    <row r="34" spans="2:16" ht="24.75" thickBot="1">
      <c r="B34" s="405"/>
      <c r="C34" s="24" t="s">
        <v>49</v>
      </c>
      <c r="D34" s="25" t="s">
        <v>50</v>
      </c>
      <c r="E34" s="25" t="s">
        <v>51</v>
      </c>
      <c r="F34" s="409"/>
      <c r="G34" s="24" t="s">
        <v>49</v>
      </c>
      <c r="H34" s="25" t="s">
        <v>50</v>
      </c>
      <c r="I34" s="25" t="s">
        <v>51</v>
      </c>
      <c r="J34" s="409"/>
      <c r="K34" s="391"/>
    </row>
    <row r="35" spans="2:16">
      <c r="B35" s="127" t="s">
        <v>36</v>
      </c>
      <c r="C35" s="128">
        <v>34</v>
      </c>
      <c r="D35" s="129">
        <v>1792</v>
      </c>
      <c r="E35" s="129">
        <v>264</v>
      </c>
      <c r="F35" s="130">
        <f>SUM(C35:E35)</f>
        <v>2090</v>
      </c>
      <c r="G35" s="128">
        <v>30</v>
      </c>
      <c r="H35" s="129">
        <v>1814</v>
      </c>
      <c r="I35" s="129">
        <v>302</v>
      </c>
      <c r="J35" s="130">
        <f>SUM(G35:I35)</f>
        <v>2146</v>
      </c>
      <c r="K35" s="131">
        <f t="shared" ref="K35:K43" si="1">(J35/F35)-1</f>
        <v>2.6794258373205704E-2</v>
      </c>
    </row>
    <row r="36" spans="2:16">
      <c r="B36" s="127" t="s">
        <v>37</v>
      </c>
      <c r="C36" s="128">
        <v>42</v>
      </c>
      <c r="D36" s="129">
        <v>1669</v>
      </c>
      <c r="E36" s="129">
        <v>352</v>
      </c>
      <c r="F36" s="130">
        <v>2063</v>
      </c>
      <c r="G36" s="128">
        <v>24</v>
      </c>
      <c r="H36" s="129">
        <v>1549</v>
      </c>
      <c r="I36" s="129">
        <v>353</v>
      </c>
      <c r="J36" s="130">
        <f>SUM(G36:I36)</f>
        <v>1926</v>
      </c>
      <c r="K36" s="236">
        <f t="shared" si="1"/>
        <v>-6.6408143480368387E-2</v>
      </c>
    </row>
    <row r="37" spans="2:16">
      <c r="B37" s="127" t="s">
        <v>38</v>
      </c>
      <c r="C37" s="128">
        <v>26</v>
      </c>
      <c r="D37" s="129">
        <v>1757</v>
      </c>
      <c r="E37" s="129">
        <v>323</v>
      </c>
      <c r="F37" s="130">
        <v>2106</v>
      </c>
      <c r="G37" s="128">
        <v>34</v>
      </c>
      <c r="H37" s="129">
        <v>1727</v>
      </c>
      <c r="I37" s="129">
        <v>387</v>
      </c>
      <c r="J37" s="130">
        <f>SUM(G37:I37)</f>
        <v>2148</v>
      </c>
      <c r="K37" s="131">
        <f t="shared" si="1"/>
        <v>1.9943019943019946E-2</v>
      </c>
    </row>
    <row r="38" spans="2:16" ht="15" customHeight="1">
      <c r="B38" s="56" t="s">
        <v>39</v>
      </c>
      <c r="C38" s="129">
        <v>28</v>
      </c>
      <c r="D38" s="129">
        <v>1830</v>
      </c>
      <c r="E38" s="129">
        <v>282</v>
      </c>
      <c r="F38" s="130">
        <v>2140</v>
      </c>
      <c r="G38" s="129">
        <v>38</v>
      </c>
      <c r="H38" s="129">
        <v>1484</v>
      </c>
      <c r="I38" s="129">
        <v>299</v>
      </c>
      <c r="J38" s="130">
        <v>1821</v>
      </c>
      <c r="K38" s="236">
        <f t="shared" si="1"/>
        <v>-0.14906542056074767</v>
      </c>
    </row>
    <row r="39" spans="2:16">
      <c r="B39" s="60" t="s">
        <v>40</v>
      </c>
      <c r="C39" s="129">
        <v>54</v>
      </c>
      <c r="D39" s="129">
        <v>1941</v>
      </c>
      <c r="E39" s="129">
        <v>232</v>
      </c>
      <c r="F39" s="130">
        <v>2227</v>
      </c>
      <c r="G39" s="129">
        <v>20</v>
      </c>
      <c r="H39" s="129">
        <v>1410</v>
      </c>
      <c r="I39" s="129">
        <v>335</v>
      </c>
      <c r="J39" s="130">
        <v>1765</v>
      </c>
      <c r="K39" s="236">
        <f t="shared" si="1"/>
        <v>-0.20745397395599463</v>
      </c>
    </row>
    <row r="40" spans="2:16">
      <c r="B40" s="60" t="s">
        <v>41</v>
      </c>
      <c r="C40" s="129">
        <v>28</v>
      </c>
      <c r="D40" s="129">
        <v>1828</v>
      </c>
      <c r="E40" s="129">
        <v>215</v>
      </c>
      <c r="F40" s="130">
        <v>2071</v>
      </c>
      <c r="G40" s="129">
        <v>28</v>
      </c>
      <c r="H40" s="129">
        <v>1542</v>
      </c>
      <c r="I40" s="129">
        <v>304</v>
      </c>
      <c r="J40" s="130">
        <v>1874</v>
      </c>
      <c r="K40" s="236">
        <f t="shared" si="1"/>
        <v>-9.5123128923225497E-2</v>
      </c>
    </row>
    <row r="41" spans="2:16">
      <c r="B41" s="60" t="s">
        <v>42</v>
      </c>
      <c r="C41" s="317">
        <v>14</v>
      </c>
      <c r="D41" s="317">
        <v>1955</v>
      </c>
      <c r="E41" s="317">
        <v>327</v>
      </c>
      <c r="F41" s="318">
        <v>2278</v>
      </c>
      <c r="G41" s="317">
        <v>42</v>
      </c>
      <c r="H41" s="317">
        <v>1595</v>
      </c>
      <c r="I41" s="317">
        <v>367</v>
      </c>
      <c r="J41" s="318">
        <v>2004</v>
      </c>
      <c r="K41" s="319">
        <f t="shared" si="1"/>
        <v>-0.12028094820017554</v>
      </c>
    </row>
    <row r="42" spans="2:16">
      <c r="B42" s="60" t="s">
        <v>43</v>
      </c>
      <c r="C42" s="129">
        <v>78</v>
      </c>
      <c r="D42" s="129">
        <v>1991</v>
      </c>
      <c r="E42" s="129">
        <v>300</v>
      </c>
      <c r="F42" s="130">
        <v>2364</v>
      </c>
      <c r="G42" s="129">
        <v>84</v>
      </c>
      <c r="H42" s="129">
        <v>1612</v>
      </c>
      <c r="I42" s="129">
        <v>419</v>
      </c>
      <c r="J42" s="130">
        <f>G42+H42+I42</f>
        <v>2115</v>
      </c>
      <c r="K42" s="319">
        <f t="shared" si="1"/>
        <v>-0.10532994923857864</v>
      </c>
    </row>
    <row r="43" spans="2:16">
      <c r="B43" s="60" t="s">
        <v>44</v>
      </c>
      <c r="C43" s="129">
        <v>62</v>
      </c>
      <c r="D43" s="129">
        <v>1789</v>
      </c>
      <c r="E43" s="129">
        <v>227</v>
      </c>
      <c r="F43" s="130">
        <v>2078</v>
      </c>
      <c r="G43" s="129">
        <v>46</v>
      </c>
      <c r="H43" s="129">
        <v>1579</v>
      </c>
      <c r="I43" s="129">
        <v>387</v>
      </c>
      <c r="J43" s="130">
        <f>G43+H43+I43</f>
        <v>2012</v>
      </c>
      <c r="K43" s="319">
        <f t="shared" si="1"/>
        <v>-3.1761308950914335E-2</v>
      </c>
    </row>
    <row r="44" spans="2:16">
      <c r="B44" s="60" t="s">
        <v>45</v>
      </c>
      <c r="C44" s="129">
        <v>48</v>
      </c>
      <c r="D44" s="129">
        <v>1740</v>
      </c>
      <c r="E44" s="129">
        <v>360</v>
      </c>
      <c r="F44" s="130">
        <v>2148</v>
      </c>
      <c r="G44" s="129">
        <v>36</v>
      </c>
      <c r="H44" s="129">
        <v>1709</v>
      </c>
      <c r="I44" s="129">
        <v>417</v>
      </c>
      <c r="J44" s="130">
        <f>G44+H44+I44</f>
        <v>2162</v>
      </c>
      <c r="K44" s="319">
        <f>(J44/F44)-1</f>
        <v>6.5176908752326845E-3</v>
      </c>
    </row>
    <row r="45" spans="2:16">
      <c r="B45" s="60" t="s">
        <v>46</v>
      </c>
      <c r="C45" s="129">
        <v>24</v>
      </c>
      <c r="D45" s="129">
        <v>1714</v>
      </c>
      <c r="E45" s="129">
        <v>334</v>
      </c>
      <c r="F45" s="130">
        <v>2072</v>
      </c>
      <c r="G45" s="129">
        <v>30</v>
      </c>
      <c r="H45" s="129">
        <v>1813</v>
      </c>
      <c r="I45" s="129">
        <v>379</v>
      </c>
      <c r="J45" s="130">
        <f>G45+H45+I45</f>
        <v>2222</v>
      </c>
      <c r="K45" s="319">
        <f>(J45/F45)-1</f>
        <v>7.2393822393822305E-2</v>
      </c>
    </row>
    <row r="46" spans="2:16" ht="15.75" thickBot="1">
      <c r="B46" s="60" t="s">
        <v>47</v>
      </c>
      <c r="C46" s="129">
        <v>76</v>
      </c>
      <c r="D46" s="129">
        <v>1823</v>
      </c>
      <c r="E46" s="129">
        <v>254</v>
      </c>
      <c r="F46" s="130">
        <v>2153</v>
      </c>
      <c r="G46" s="129">
        <v>36</v>
      </c>
      <c r="H46" s="129">
        <v>1951</v>
      </c>
      <c r="I46" s="129">
        <v>297</v>
      </c>
      <c r="J46" s="130">
        <f>G46+H46+I46</f>
        <v>2284</v>
      </c>
      <c r="K46" s="319">
        <f>(J46/F46)-1</f>
        <v>6.0845332094751514E-2</v>
      </c>
    </row>
    <row r="47" spans="2:16" ht="21" thickBot="1">
      <c r="B47" s="133" t="s">
        <v>6</v>
      </c>
      <c r="C47" s="134">
        <f t="shared" ref="C47:J47" si="2">SUM(C35:C46)</f>
        <v>514</v>
      </c>
      <c r="D47" s="135">
        <f t="shared" si="2"/>
        <v>21829</v>
      </c>
      <c r="E47" s="135">
        <f t="shared" si="2"/>
        <v>3470</v>
      </c>
      <c r="F47" s="136">
        <f t="shared" si="2"/>
        <v>25790</v>
      </c>
      <c r="G47" s="134">
        <f t="shared" si="2"/>
        <v>448</v>
      </c>
      <c r="H47" s="134">
        <f t="shared" si="2"/>
        <v>19785</v>
      </c>
      <c r="I47" s="134">
        <f t="shared" si="2"/>
        <v>4246</v>
      </c>
      <c r="J47" s="134">
        <f t="shared" si="2"/>
        <v>24479</v>
      </c>
      <c r="K47" s="258">
        <f>(J47/(F35+F36+F37+F38+F39+F40+F41))-1</f>
        <v>0.6346577629382304</v>
      </c>
      <c r="M47" s="62"/>
      <c r="N47" s="91"/>
      <c r="O47" s="62"/>
      <c r="P47" s="91"/>
    </row>
    <row r="48" spans="2:16" ht="15.75" thickBot="1"/>
    <row r="49" spans="2:12">
      <c r="B49" s="78"/>
      <c r="C49" s="412">
        <v>2024</v>
      </c>
      <c r="D49" s="413"/>
      <c r="E49" s="413"/>
      <c r="F49" s="415"/>
      <c r="G49" s="412">
        <v>2025</v>
      </c>
      <c r="H49" s="413"/>
      <c r="I49" s="413"/>
      <c r="J49" s="413"/>
      <c r="K49" s="414"/>
    </row>
    <row r="50" spans="2:12" ht="52.5" customHeight="1">
      <c r="B50" s="79"/>
      <c r="C50" s="51" t="s">
        <v>49</v>
      </c>
      <c r="D50" s="51" t="s">
        <v>50</v>
      </c>
      <c r="E50" s="51" t="s">
        <v>51</v>
      </c>
      <c r="F50" s="52" t="s">
        <v>6</v>
      </c>
      <c r="G50" s="51" t="s">
        <v>49</v>
      </c>
      <c r="H50" s="51" t="s">
        <v>50</v>
      </c>
      <c r="I50" s="51" t="s">
        <v>51</v>
      </c>
      <c r="J50" s="53" t="s">
        <v>6</v>
      </c>
      <c r="K50" s="137" t="s">
        <v>107</v>
      </c>
    </row>
    <row r="51" spans="2:12" ht="27.75" customHeight="1">
      <c r="B51" s="218" t="s">
        <v>47</v>
      </c>
      <c r="C51" s="132">
        <v>76</v>
      </c>
      <c r="D51" s="132">
        <v>1823</v>
      </c>
      <c r="E51" s="132">
        <v>254</v>
      </c>
      <c r="F51" s="219">
        <f>C51+D51+E51</f>
        <v>2153</v>
      </c>
      <c r="G51" s="132">
        <v>36</v>
      </c>
      <c r="H51" s="132">
        <v>1951</v>
      </c>
      <c r="I51" s="132">
        <v>297</v>
      </c>
      <c r="J51" s="219">
        <f>G51+H51+I51</f>
        <v>2284</v>
      </c>
      <c r="K51" s="259">
        <f>+K46</f>
        <v>6.0845332094751514E-2</v>
      </c>
    </row>
    <row r="52" spans="2:12" ht="18">
      <c r="B52" s="57"/>
      <c r="C52" s="58"/>
      <c r="D52" s="58"/>
      <c r="E52" s="58"/>
      <c r="F52" s="58"/>
      <c r="G52" s="58"/>
      <c r="H52" s="58"/>
      <c r="I52" s="58"/>
      <c r="J52" s="58"/>
      <c r="K52" s="59"/>
    </row>
    <row r="53" spans="2:12" ht="18">
      <c r="B53" s="57"/>
      <c r="C53" s="58"/>
      <c r="D53" s="58"/>
      <c r="E53" s="58"/>
      <c r="F53" s="58"/>
      <c r="G53" s="58"/>
      <c r="H53" s="58"/>
      <c r="I53" s="58"/>
      <c r="J53" s="58"/>
      <c r="K53" s="59"/>
    </row>
    <row r="54" spans="2:12" ht="18">
      <c r="B54" s="57"/>
      <c r="C54" s="58"/>
      <c r="D54" s="58"/>
      <c r="E54" s="58"/>
      <c r="F54" s="58"/>
      <c r="G54" s="58"/>
      <c r="H54" s="58"/>
      <c r="I54" s="58"/>
      <c r="J54" s="58"/>
      <c r="K54" s="59"/>
    </row>
    <row r="55" spans="2:12" ht="18">
      <c r="B55" s="57"/>
      <c r="C55" s="58"/>
      <c r="D55" s="58"/>
      <c r="E55" s="58"/>
      <c r="F55" s="58"/>
      <c r="G55" s="58"/>
      <c r="H55" s="58"/>
      <c r="I55" s="58"/>
      <c r="J55" s="58"/>
      <c r="K55" s="59"/>
    </row>
    <row r="56" spans="2:12" ht="18">
      <c r="B56" s="57"/>
      <c r="C56" s="58"/>
      <c r="D56" s="58"/>
      <c r="E56" s="58"/>
      <c r="F56" s="58"/>
      <c r="G56" s="58"/>
      <c r="H56" s="58"/>
      <c r="I56" s="58"/>
      <c r="J56" s="58"/>
      <c r="K56" s="59"/>
    </row>
    <row r="57" spans="2:12">
      <c r="K57" s="257"/>
    </row>
    <row r="60" spans="2:12" ht="30.75" customHeight="1" thickBot="1">
      <c r="B60" s="410" t="s">
        <v>200</v>
      </c>
      <c r="C60" s="411"/>
      <c r="D60" s="411"/>
      <c r="E60" s="411"/>
      <c r="F60" s="411"/>
      <c r="G60" s="411"/>
      <c r="H60" s="411"/>
      <c r="I60" s="411"/>
      <c r="J60" s="207"/>
      <c r="K60" s="207"/>
    </row>
    <row r="61" spans="2:12" ht="33.75" customHeight="1" thickBot="1">
      <c r="B61" s="167" t="s">
        <v>52</v>
      </c>
      <c r="C61" s="168" t="s">
        <v>4</v>
      </c>
      <c r="D61" s="168" t="s">
        <v>3</v>
      </c>
      <c r="E61" s="168" t="s">
        <v>101</v>
      </c>
      <c r="F61" s="168" t="s">
        <v>97</v>
      </c>
      <c r="G61" s="168" t="s">
        <v>5</v>
      </c>
      <c r="H61" s="168" t="s">
        <v>176</v>
      </c>
      <c r="I61" s="169" t="s">
        <v>6</v>
      </c>
      <c r="J61" s="170"/>
    </row>
    <row r="62" spans="2:12" ht="30.75" customHeight="1">
      <c r="B62" s="167" t="s">
        <v>54</v>
      </c>
      <c r="C62" s="81">
        <f>C63+C64+C65+C66</f>
        <v>485</v>
      </c>
      <c r="D62" s="81">
        <f>D63+D64+D65+D66</f>
        <v>172</v>
      </c>
      <c r="E62" s="81">
        <f t="shared" ref="E62" si="3">E63+E64+E65+E66</f>
        <v>89</v>
      </c>
      <c r="F62" s="81">
        <f>F63+F64+F65+F66</f>
        <v>127</v>
      </c>
      <c r="G62" s="81">
        <f>G63+G64+G65+G66</f>
        <v>61</v>
      </c>
      <c r="H62" s="81">
        <v>0</v>
      </c>
      <c r="I62" s="166">
        <f>SUM(C62:H62)</f>
        <v>934</v>
      </c>
      <c r="J62" s="208"/>
    </row>
    <row r="63" spans="2:12" ht="55.5" customHeight="1">
      <c r="B63" s="84" t="s">
        <v>55</v>
      </c>
      <c r="C63" s="83">
        <v>174</v>
      </c>
      <c r="D63" s="83">
        <v>29</v>
      </c>
      <c r="E63" s="83">
        <v>22</v>
      </c>
      <c r="F63" s="83">
        <v>27</v>
      </c>
      <c r="G63" s="83">
        <v>37</v>
      </c>
      <c r="H63" s="83">
        <v>0</v>
      </c>
      <c r="I63" s="166">
        <f>SUM(C63:H63)</f>
        <v>289</v>
      </c>
      <c r="J63" s="171"/>
      <c r="L63" s="163"/>
    </row>
    <row r="64" spans="2:12" ht="51.75" customHeight="1">
      <c r="B64" s="84" t="s">
        <v>56</v>
      </c>
      <c r="C64" s="83">
        <v>194</v>
      </c>
      <c r="D64" s="83">
        <v>91</v>
      </c>
      <c r="E64" s="83">
        <v>40</v>
      </c>
      <c r="F64" s="83">
        <v>59</v>
      </c>
      <c r="G64" s="83">
        <v>17</v>
      </c>
      <c r="H64" s="83">
        <v>0</v>
      </c>
      <c r="I64" s="166">
        <f>SUM(C64:H64)</f>
        <v>401</v>
      </c>
      <c r="J64" s="171"/>
      <c r="L64" s="163"/>
    </row>
    <row r="65" spans="2:12" ht="48.75" customHeight="1">
      <c r="B65" s="84" t="s">
        <v>57</v>
      </c>
      <c r="C65" s="83">
        <v>68</v>
      </c>
      <c r="D65" s="83">
        <v>34</v>
      </c>
      <c r="E65" s="83">
        <v>16</v>
      </c>
      <c r="F65" s="83">
        <v>32</v>
      </c>
      <c r="G65" s="83">
        <v>3</v>
      </c>
      <c r="H65" s="83">
        <v>0</v>
      </c>
      <c r="I65" s="166">
        <f>SUM(C65:H65)</f>
        <v>153</v>
      </c>
      <c r="J65" s="171"/>
      <c r="L65" s="163"/>
    </row>
    <row r="66" spans="2:12" ht="42.75" customHeight="1" thickBot="1">
      <c r="B66" s="223" t="s">
        <v>58</v>
      </c>
      <c r="C66" s="224">
        <v>49</v>
      </c>
      <c r="D66" s="224">
        <v>18</v>
      </c>
      <c r="E66" s="224">
        <v>11</v>
      </c>
      <c r="F66" s="224">
        <v>9</v>
      </c>
      <c r="G66" s="224">
        <v>4</v>
      </c>
      <c r="H66" s="224">
        <v>0</v>
      </c>
      <c r="I66" s="166">
        <f>SUM(C66:H66)</f>
        <v>91</v>
      </c>
      <c r="J66" s="171"/>
      <c r="L66" s="163"/>
    </row>
    <row r="67" spans="2:12" ht="45.75" customHeight="1" thickBot="1">
      <c r="B67" s="227" t="s">
        <v>59</v>
      </c>
      <c r="C67" s="225">
        <f>(C62/I62)</f>
        <v>0.51927194860813708</v>
      </c>
      <c r="D67" s="225">
        <f>(D62/I62)</f>
        <v>0.1841541755888651</v>
      </c>
      <c r="E67" s="225">
        <f>(E62/I62)</f>
        <v>9.5289079229122053E-2</v>
      </c>
      <c r="F67" s="225">
        <f>(F62/I62)</f>
        <v>0.13597430406852248</v>
      </c>
      <c r="G67" s="225">
        <f>(G62/I62)</f>
        <v>6.5310492505353313E-2</v>
      </c>
      <c r="H67" s="225">
        <f>(H62/I62)</f>
        <v>0</v>
      </c>
      <c r="I67" s="226"/>
      <c r="J67" s="172"/>
      <c r="L67" s="163"/>
    </row>
    <row r="68" spans="2:12" ht="15.75" thickBot="1">
      <c r="C68" s="174"/>
      <c r="D68" s="175"/>
      <c r="E68" s="175"/>
      <c r="F68" s="175"/>
      <c r="G68" s="175"/>
      <c r="H68" s="176"/>
      <c r="I68" s="173"/>
      <c r="J68" s="173"/>
    </row>
    <row r="69" spans="2:12" ht="24" customHeight="1" thickBot="1">
      <c r="B69" s="398" t="s">
        <v>198</v>
      </c>
      <c r="C69" s="399"/>
      <c r="D69" s="399"/>
      <c r="E69" s="399"/>
      <c r="F69" s="399"/>
      <c r="G69" s="399"/>
      <c r="H69" s="400"/>
      <c r="I69" s="173"/>
      <c r="J69" s="173"/>
      <c r="K69" s="45"/>
    </row>
    <row r="70" spans="2:12" ht="30" customHeight="1" thickBot="1">
      <c r="B70" s="167" t="s">
        <v>52</v>
      </c>
      <c r="C70" s="168" t="s">
        <v>4</v>
      </c>
      <c r="D70" s="168" t="s">
        <v>3</v>
      </c>
      <c r="E70" s="168" t="s">
        <v>101</v>
      </c>
      <c r="F70" s="168" t="s">
        <v>97</v>
      </c>
      <c r="G70" s="168" t="s">
        <v>5</v>
      </c>
      <c r="H70" s="187" t="s">
        <v>6</v>
      </c>
      <c r="J70" s="170"/>
    </row>
    <row r="71" spans="2:12" ht="18.75" thickBot="1">
      <c r="B71" s="237" t="s">
        <v>54</v>
      </c>
      <c r="C71" s="81">
        <f>+C62</f>
        <v>485</v>
      </c>
      <c r="D71" s="81">
        <f>+D62</f>
        <v>172</v>
      </c>
      <c r="E71" s="81">
        <f>+E62</f>
        <v>89</v>
      </c>
      <c r="F71" s="81">
        <f>+F62</f>
        <v>127</v>
      </c>
      <c r="G71" s="81">
        <f>+G62</f>
        <v>61</v>
      </c>
      <c r="H71" s="178">
        <f>SUM(C71:G71)</f>
        <v>934</v>
      </c>
      <c r="J71" s="171"/>
    </row>
    <row r="73" spans="2:12" ht="15.75" thickBot="1"/>
    <row r="74" spans="2:12" ht="35.25" customHeight="1" thickBot="1">
      <c r="B74" s="395" t="s">
        <v>199</v>
      </c>
      <c r="C74" s="396"/>
      <c r="D74" s="396"/>
      <c r="E74" s="396"/>
      <c r="F74" s="396"/>
      <c r="G74" s="396"/>
      <c r="H74" s="396"/>
      <c r="I74" s="396"/>
      <c r="J74" s="397"/>
      <c r="K74" s="238"/>
    </row>
    <row r="75" spans="2:12" ht="35.25" customHeight="1">
      <c r="B75" s="220" t="s">
        <v>52</v>
      </c>
      <c r="C75" s="26" t="s">
        <v>4</v>
      </c>
      <c r="D75" s="26" t="s">
        <v>131</v>
      </c>
      <c r="E75" s="26" t="s">
        <v>101</v>
      </c>
      <c r="F75" s="26" t="s">
        <v>97</v>
      </c>
      <c r="G75" s="26" t="s">
        <v>5</v>
      </c>
      <c r="H75" s="26" t="s">
        <v>53</v>
      </c>
      <c r="I75" s="26" t="s">
        <v>98</v>
      </c>
      <c r="J75" s="221" t="s">
        <v>6</v>
      </c>
    </row>
    <row r="76" spans="2:12" ht="33" customHeight="1">
      <c r="B76" s="222" t="s">
        <v>54</v>
      </c>
      <c r="C76" s="81">
        <f>C77+C78+C79+C80</f>
        <v>495</v>
      </c>
      <c r="D76" s="81">
        <f t="shared" ref="D76:I76" si="4">D77+D78+D79+D80</f>
        <v>155</v>
      </c>
      <c r="E76" s="81">
        <f t="shared" si="4"/>
        <v>79</v>
      </c>
      <c r="F76" s="81">
        <f t="shared" si="4"/>
        <v>102</v>
      </c>
      <c r="G76" s="81">
        <f t="shared" si="4"/>
        <v>46</v>
      </c>
      <c r="H76" s="81">
        <f t="shared" si="4"/>
        <v>0</v>
      </c>
      <c r="I76" s="81">
        <f t="shared" si="4"/>
        <v>0</v>
      </c>
      <c r="J76" s="219">
        <f>SUM(C76:I76)</f>
        <v>877</v>
      </c>
    </row>
    <row r="77" spans="2:12" ht="65.25" customHeight="1">
      <c r="B77" s="84" t="s">
        <v>55</v>
      </c>
      <c r="C77" s="83">
        <v>92</v>
      </c>
      <c r="D77" s="83">
        <v>24</v>
      </c>
      <c r="E77" s="83">
        <v>22</v>
      </c>
      <c r="F77" s="83">
        <v>15</v>
      </c>
      <c r="G77" s="83">
        <v>36</v>
      </c>
      <c r="H77" s="83">
        <v>0</v>
      </c>
      <c r="I77" s="83">
        <v>0</v>
      </c>
      <c r="J77" s="219">
        <f>SUM(C77:I77)</f>
        <v>189</v>
      </c>
      <c r="K77" s="48"/>
    </row>
    <row r="78" spans="2:12" ht="63.75" customHeight="1">
      <c r="B78" s="84" t="s">
        <v>56</v>
      </c>
      <c r="C78" s="83">
        <v>239</v>
      </c>
      <c r="D78" s="83">
        <v>90</v>
      </c>
      <c r="E78" s="83">
        <v>32</v>
      </c>
      <c r="F78" s="83">
        <v>45</v>
      </c>
      <c r="G78" s="83">
        <v>9</v>
      </c>
      <c r="H78" s="83">
        <v>0</v>
      </c>
      <c r="I78" s="83">
        <v>0</v>
      </c>
      <c r="J78" s="219">
        <f>SUM(C78:I78)</f>
        <v>415</v>
      </c>
    </row>
    <row r="79" spans="2:12" ht="72.75" customHeight="1">
      <c r="B79" s="84" t="s">
        <v>57</v>
      </c>
      <c r="C79" s="83">
        <v>88</v>
      </c>
      <c r="D79" s="83">
        <v>30</v>
      </c>
      <c r="E79" s="83">
        <v>16</v>
      </c>
      <c r="F79" s="83">
        <v>29</v>
      </c>
      <c r="G79" s="83">
        <v>1</v>
      </c>
      <c r="H79" s="83">
        <v>0</v>
      </c>
      <c r="I79" s="83">
        <v>0</v>
      </c>
      <c r="J79" s="82">
        <f>SUM(C79:I79)</f>
        <v>164</v>
      </c>
    </row>
    <row r="80" spans="2:12" ht="55.5" customHeight="1" thickBot="1">
      <c r="B80" s="223" t="s">
        <v>58</v>
      </c>
      <c r="C80" s="83">
        <v>76</v>
      </c>
      <c r="D80" s="83">
        <v>11</v>
      </c>
      <c r="E80" s="83">
        <v>9</v>
      </c>
      <c r="F80" s="83">
        <v>13</v>
      </c>
      <c r="G80" s="83">
        <v>0</v>
      </c>
      <c r="H80" s="83">
        <v>0</v>
      </c>
      <c r="I80" s="83">
        <v>0</v>
      </c>
      <c r="J80" s="82">
        <f>SUM(C80:I80)</f>
        <v>109</v>
      </c>
    </row>
    <row r="81" spans="2:10" ht="33.75" thickBot="1">
      <c r="B81" s="227" t="s">
        <v>59</v>
      </c>
      <c r="C81" s="225">
        <f>C76/J76</f>
        <v>0.56442417331813</v>
      </c>
      <c r="D81" s="225">
        <f>D76/J76</f>
        <v>0.17673888255416192</v>
      </c>
      <c r="E81" s="225">
        <f>E76/J76</f>
        <v>9.0079817559863176E-2</v>
      </c>
      <c r="F81" s="225">
        <f>F76/J76</f>
        <v>0.11630558722919042</v>
      </c>
      <c r="G81" s="225">
        <f>G76/J76</f>
        <v>5.2451539338654506E-2</v>
      </c>
      <c r="H81" s="225">
        <f>H76/J76</f>
        <v>0</v>
      </c>
      <c r="I81" s="225">
        <f>I76/J76</f>
        <v>0</v>
      </c>
      <c r="J81" s="226"/>
    </row>
    <row r="83" spans="2:10" ht="15.75" thickBot="1"/>
    <row r="84" spans="2:10" ht="15.75" thickBot="1">
      <c r="B84" s="392" t="s">
        <v>198</v>
      </c>
      <c r="C84" s="393"/>
      <c r="D84" s="393"/>
      <c r="E84" s="393"/>
      <c r="F84" s="393"/>
      <c r="G84" s="393"/>
      <c r="H84" s="393"/>
      <c r="I84" s="393"/>
      <c r="J84" s="394"/>
    </row>
    <row r="85" spans="2:10" ht="15.75" thickBot="1">
      <c r="B85" s="167" t="s">
        <v>52</v>
      </c>
      <c r="C85" s="26" t="s">
        <v>4</v>
      </c>
      <c r="D85" s="26" t="s">
        <v>131</v>
      </c>
      <c r="E85" s="26" t="s">
        <v>101</v>
      </c>
      <c r="F85" s="26" t="s">
        <v>97</v>
      </c>
      <c r="G85" s="26" t="s">
        <v>5</v>
      </c>
      <c r="H85" s="26" t="s">
        <v>53</v>
      </c>
      <c r="I85" s="26" t="s">
        <v>98</v>
      </c>
      <c r="J85" s="187" t="s">
        <v>6</v>
      </c>
    </row>
    <row r="86" spans="2:10" ht="18.75" thickBot="1">
      <c r="B86" s="237" t="s">
        <v>54</v>
      </c>
      <c r="C86" s="177">
        <f t="shared" ref="C86:I86" si="5">+C76</f>
        <v>495</v>
      </c>
      <c r="D86" s="177">
        <f t="shared" si="5"/>
        <v>155</v>
      </c>
      <c r="E86" s="177">
        <f t="shared" si="5"/>
        <v>79</v>
      </c>
      <c r="F86" s="177">
        <f t="shared" si="5"/>
        <v>102</v>
      </c>
      <c r="G86" s="177">
        <f t="shared" si="5"/>
        <v>46</v>
      </c>
      <c r="H86" s="177">
        <f t="shared" si="5"/>
        <v>0</v>
      </c>
      <c r="I86" s="177">
        <f t="shared" si="5"/>
        <v>0</v>
      </c>
      <c r="J86" s="178">
        <f>SUM(C86:I86)</f>
        <v>877</v>
      </c>
    </row>
    <row r="88" spans="2:10" ht="36" customHeight="1" thickBot="1">
      <c r="C88" s="387" t="s">
        <v>36</v>
      </c>
      <c r="D88" s="388"/>
      <c r="E88" s="389"/>
      <c r="G88" s="138"/>
      <c r="H88" s="138"/>
      <c r="I88" s="138"/>
    </row>
    <row r="89" spans="2:10" ht="33" customHeight="1" thickBot="1">
      <c r="C89" s="93"/>
      <c r="D89" s="94">
        <v>2025</v>
      </c>
      <c r="E89" s="94">
        <v>2026</v>
      </c>
      <c r="G89" s="139"/>
      <c r="H89" s="138"/>
      <c r="I89" s="138"/>
    </row>
    <row r="90" spans="2:10" ht="31.5" customHeight="1" thickBot="1">
      <c r="C90" s="95" t="s">
        <v>6</v>
      </c>
      <c r="D90" s="96">
        <v>1814</v>
      </c>
      <c r="E90" s="96">
        <v>1947</v>
      </c>
      <c r="G90" s="140"/>
      <c r="H90" s="141"/>
      <c r="I90" s="141"/>
    </row>
    <row r="91" spans="2:10" ht="23.25" customHeight="1" thickBot="1">
      <c r="C91" s="97" t="s">
        <v>60</v>
      </c>
      <c r="D91" s="99">
        <v>937</v>
      </c>
      <c r="E91" s="99">
        <f>E90-E92</f>
        <v>1013</v>
      </c>
      <c r="G91" s="142">
        <f>(D91/D90)</f>
        <v>0.51653803748621829</v>
      </c>
      <c r="H91" s="142">
        <f>(E91/E90)</f>
        <v>0.5202876219825372</v>
      </c>
      <c r="I91" s="143"/>
    </row>
    <row r="92" spans="2:10" ht="23.25" customHeight="1" thickBot="1">
      <c r="C92" s="97" t="s">
        <v>61</v>
      </c>
      <c r="D92" s="98">
        <v>877</v>
      </c>
      <c r="E92" s="98">
        <v>934</v>
      </c>
      <c r="G92" s="142">
        <f>(D92/D90)</f>
        <v>0.48346196251378171</v>
      </c>
      <c r="H92" s="142">
        <f>(E92/E90)</f>
        <v>0.47971237801746275</v>
      </c>
      <c r="I92" s="143"/>
    </row>
    <row r="93" spans="2:10" ht="15.75" thickBot="1"/>
    <row r="94" spans="2:10" ht="43.5" customHeight="1" thickBot="1">
      <c r="C94" s="387" t="s">
        <v>37</v>
      </c>
      <c r="D94" s="388"/>
      <c r="E94" s="389"/>
    </row>
    <row r="95" spans="2:10" ht="30.75" customHeight="1" thickBot="1">
      <c r="C95" s="93"/>
      <c r="D95" s="94">
        <v>2025</v>
      </c>
      <c r="E95" s="94">
        <v>2026</v>
      </c>
    </row>
    <row r="96" spans="2:10" ht="21" thickBot="1">
      <c r="C96" s="95" t="s">
        <v>6</v>
      </c>
      <c r="D96" s="96"/>
      <c r="E96" s="96"/>
    </row>
    <row r="97" spans="3:8" ht="21" thickBot="1">
      <c r="C97" s="97" t="s">
        <v>60</v>
      </c>
      <c r="D97" s="99"/>
      <c r="E97" s="99"/>
      <c r="G97" s="232" t="e">
        <f>D97/D96</f>
        <v>#DIV/0!</v>
      </c>
      <c r="H97" s="232" t="e">
        <f>E97/E96</f>
        <v>#DIV/0!</v>
      </c>
    </row>
    <row r="98" spans="3:8" ht="21" thickBot="1">
      <c r="C98" s="97" t="s">
        <v>61</v>
      </c>
      <c r="D98" s="98"/>
      <c r="E98" s="98"/>
      <c r="G98" s="232" t="e">
        <f>D98/D96</f>
        <v>#DIV/0!</v>
      </c>
      <c r="H98" s="232" t="e">
        <f>E98/E96</f>
        <v>#DIV/0!</v>
      </c>
    </row>
    <row r="99" spans="3:8" ht="15.75" thickBot="1"/>
    <row r="100" spans="3:8" ht="38.25" customHeight="1" thickBot="1">
      <c r="C100" s="387" t="s">
        <v>38</v>
      </c>
      <c r="D100" s="388"/>
      <c r="E100" s="389"/>
    </row>
    <row r="101" spans="3:8" ht="21" thickBot="1">
      <c r="C101" s="93"/>
      <c r="D101" s="94">
        <v>2025</v>
      </c>
      <c r="E101" s="94">
        <v>2026</v>
      </c>
    </row>
    <row r="102" spans="3:8" ht="21" thickBot="1">
      <c r="C102" s="95" t="s">
        <v>6</v>
      </c>
      <c r="D102" s="96"/>
      <c r="E102" s="96"/>
    </row>
    <row r="103" spans="3:8" ht="21" thickBot="1">
      <c r="C103" s="97" t="s">
        <v>60</v>
      </c>
      <c r="D103" s="99"/>
      <c r="E103" s="99"/>
      <c r="G103" s="232" t="e">
        <f>D103/D102</f>
        <v>#DIV/0!</v>
      </c>
      <c r="H103" s="232" t="e">
        <f>E103/E102</f>
        <v>#DIV/0!</v>
      </c>
    </row>
    <row r="104" spans="3:8" ht="21" thickBot="1">
      <c r="C104" s="97" t="s">
        <v>61</v>
      </c>
      <c r="D104" s="98"/>
      <c r="E104" s="98"/>
      <c r="G104" s="232" t="e">
        <f>D104/D102</f>
        <v>#DIV/0!</v>
      </c>
      <c r="H104" s="232" t="e">
        <f>E104/E102</f>
        <v>#DIV/0!</v>
      </c>
    </row>
    <row r="105" spans="3:8" ht="15.75" thickBot="1"/>
    <row r="106" spans="3:8" ht="40.5" customHeight="1" thickBot="1">
      <c r="C106" s="387" t="s">
        <v>39</v>
      </c>
      <c r="D106" s="388"/>
      <c r="E106" s="389"/>
    </row>
    <row r="107" spans="3:8" ht="21" thickBot="1">
      <c r="C107" s="93"/>
      <c r="D107" s="94">
        <v>2025</v>
      </c>
      <c r="E107" s="94">
        <v>2026</v>
      </c>
    </row>
    <row r="108" spans="3:8" ht="21" thickBot="1">
      <c r="C108" s="95" t="s">
        <v>6</v>
      </c>
      <c r="D108" s="96"/>
      <c r="E108" s="96"/>
    </row>
    <row r="109" spans="3:8" ht="21" thickBot="1">
      <c r="C109" s="97" t="s">
        <v>60</v>
      </c>
      <c r="D109" s="99"/>
      <c r="E109" s="99"/>
      <c r="G109" s="232" t="e">
        <f>D109/D108</f>
        <v>#DIV/0!</v>
      </c>
      <c r="H109" s="232" t="e">
        <f>E109/E108</f>
        <v>#DIV/0!</v>
      </c>
    </row>
    <row r="110" spans="3:8" ht="21" thickBot="1">
      <c r="C110" s="97" t="s">
        <v>61</v>
      </c>
      <c r="D110" s="99"/>
      <c r="E110" s="99"/>
      <c r="G110" s="232" t="e">
        <f>D110/D108</f>
        <v>#DIV/0!</v>
      </c>
      <c r="H110" s="232" t="e">
        <f>E110/E108</f>
        <v>#DIV/0!</v>
      </c>
    </row>
    <row r="111" spans="3:8" ht="15.75" thickBot="1"/>
    <row r="112" spans="3:8" ht="38.25" customHeight="1" thickBot="1">
      <c r="C112" s="387" t="s">
        <v>40</v>
      </c>
      <c r="D112" s="388"/>
      <c r="E112" s="389"/>
    </row>
    <row r="113" spans="3:12" ht="30" customHeight="1" thickBot="1">
      <c r="C113" s="93"/>
      <c r="D113" s="94">
        <v>2025</v>
      </c>
      <c r="E113" s="94">
        <v>2026</v>
      </c>
    </row>
    <row r="114" spans="3:12" ht="28.5" customHeight="1" thickBot="1">
      <c r="C114" s="95" t="s">
        <v>6</v>
      </c>
      <c r="D114" s="96"/>
      <c r="E114" s="96"/>
    </row>
    <row r="115" spans="3:12" ht="28.5" customHeight="1" thickBot="1">
      <c r="C115" s="97" t="s">
        <v>60</v>
      </c>
      <c r="D115" s="99"/>
      <c r="E115" s="99"/>
      <c r="G115" s="232" t="e">
        <f>D115/D114</f>
        <v>#DIV/0!</v>
      </c>
      <c r="H115" s="232" t="e">
        <f>E115/E114</f>
        <v>#DIV/0!</v>
      </c>
    </row>
    <row r="116" spans="3:12" ht="26.25" customHeight="1" thickBot="1">
      <c r="C116" s="97" t="s">
        <v>61</v>
      </c>
      <c r="D116" s="99"/>
      <c r="E116" s="99"/>
      <c r="G116" s="232" t="e">
        <f>D116/D114</f>
        <v>#DIV/0!</v>
      </c>
      <c r="H116" s="232" t="e">
        <f>E116/E114</f>
        <v>#DIV/0!</v>
      </c>
    </row>
    <row r="117" spans="3:12" ht="15.75" thickBot="1"/>
    <row r="118" spans="3:12" ht="36" customHeight="1" thickBot="1">
      <c r="C118" s="387" t="s">
        <v>41</v>
      </c>
      <c r="D118" s="388"/>
      <c r="E118" s="389"/>
    </row>
    <row r="119" spans="3:12" ht="21" thickBot="1">
      <c r="C119" s="93"/>
      <c r="D119" s="94">
        <v>2025</v>
      </c>
      <c r="E119" s="94">
        <v>2026</v>
      </c>
    </row>
    <row r="120" spans="3:12" ht="21" thickBot="1">
      <c r="C120" s="95" t="s">
        <v>6</v>
      </c>
      <c r="D120" s="96"/>
      <c r="E120" s="96"/>
    </row>
    <row r="121" spans="3:12" ht="21" thickBot="1">
      <c r="C121" s="97" t="s">
        <v>60</v>
      </c>
      <c r="D121" s="99"/>
      <c r="E121" s="99"/>
      <c r="G121" s="232" t="e">
        <f>D121/D120</f>
        <v>#DIV/0!</v>
      </c>
      <c r="H121" s="232" t="e">
        <f>E121/E120</f>
        <v>#DIV/0!</v>
      </c>
    </row>
    <row r="122" spans="3:12" ht="21" thickBot="1">
      <c r="C122" s="97" t="s">
        <v>61</v>
      </c>
      <c r="D122" s="99"/>
      <c r="E122" s="99"/>
      <c r="G122" s="232" t="e">
        <f>D122/D120</f>
        <v>#DIV/0!</v>
      </c>
      <c r="H122" s="232" t="e">
        <f>E122/E120</f>
        <v>#DIV/0!</v>
      </c>
    </row>
    <row r="123" spans="3:12" ht="15.75" thickBot="1"/>
    <row r="124" spans="3:12" ht="33.75" customHeight="1" thickBot="1">
      <c r="C124" s="387" t="s">
        <v>42</v>
      </c>
      <c r="D124" s="388"/>
      <c r="E124" s="389"/>
    </row>
    <row r="125" spans="3:12" ht="21" thickBot="1">
      <c r="C125" s="93"/>
      <c r="D125" s="94">
        <v>2025</v>
      </c>
      <c r="E125" s="94">
        <v>2026</v>
      </c>
    </row>
    <row r="126" spans="3:12" ht="29.25" customHeight="1" thickBot="1">
      <c r="C126" s="95" t="s">
        <v>6</v>
      </c>
      <c r="D126" s="96"/>
      <c r="E126" s="96"/>
    </row>
    <row r="127" spans="3:12" ht="28.5" customHeight="1" thickBot="1">
      <c r="C127" s="97" t="s">
        <v>60</v>
      </c>
      <c r="D127" s="99"/>
      <c r="E127" s="99"/>
      <c r="G127" s="232" t="e">
        <f>D127/D126</f>
        <v>#DIV/0!</v>
      </c>
      <c r="H127" s="232" t="e">
        <f>E127/E126</f>
        <v>#DIV/0!</v>
      </c>
      <c r="L127" s="48"/>
    </row>
    <row r="128" spans="3:12" ht="30" customHeight="1" thickBot="1">
      <c r="C128" s="97" t="s">
        <v>61</v>
      </c>
      <c r="D128" s="99"/>
      <c r="E128" s="99"/>
      <c r="G128" s="232" t="e">
        <f>D128/D126</f>
        <v>#DIV/0!</v>
      </c>
      <c r="H128" s="232" t="e">
        <f>E128/E126</f>
        <v>#DIV/0!</v>
      </c>
    </row>
    <row r="129" spans="3:12" ht="15.75" thickBot="1"/>
    <row r="130" spans="3:12" ht="21" thickBot="1">
      <c r="C130" s="387" t="s">
        <v>43</v>
      </c>
      <c r="D130" s="388"/>
      <c r="E130" s="389"/>
    </row>
    <row r="131" spans="3:12" ht="21" thickBot="1">
      <c r="C131" s="93"/>
      <c r="D131" s="94">
        <v>2025</v>
      </c>
      <c r="E131" s="94">
        <v>2026</v>
      </c>
    </row>
    <row r="132" spans="3:12" ht="21" thickBot="1">
      <c r="C132" s="95" t="s">
        <v>6</v>
      </c>
      <c r="D132" s="96"/>
      <c r="E132" s="96"/>
    </row>
    <row r="133" spans="3:12" ht="21" thickBot="1">
      <c r="C133" s="97" t="s">
        <v>60</v>
      </c>
      <c r="D133" s="99"/>
      <c r="E133" s="99"/>
      <c r="G133" s="232" t="e">
        <f>D133/D132</f>
        <v>#DIV/0!</v>
      </c>
      <c r="H133" s="232" t="e">
        <f>E133/E132</f>
        <v>#DIV/0!</v>
      </c>
    </row>
    <row r="134" spans="3:12" ht="21" thickBot="1">
      <c r="C134" s="97" t="s">
        <v>61</v>
      </c>
      <c r="D134" s="99"/>
      <c r="E134" s="99"/>
      <c r="G134" s="232" t="e">
        <f>D134/D132</f>
        <v>#DIV/0!</v>
      </c>
      <c r="H134" s="232" t="e">
        <f>E134/E132</f>
        <v>#DIV/0!</v>
      </c>
    </row>
    <row r="135" spans="3:12" ht="15.75" thickBot="1"/>
    <row r="136" spans="3:12" ht="21" thickBot="1">
      <c r="C136" s="387" t="s">
        <v>44</v>
      </c>
      <c r="D136" s="388"/>
      <c r="E136" s="389"/>
    </row>
    <row r="137" spans="3:12" ht="21" thickBot="1">
      <c r="C137" s="93"/>
      <c r="D137" s="94">
        <v>2025</v>
      </c>
      <c r="E137" s="94">
        <v>2026</v>
      </c>
    </row>
    <row r="138" spans="3:12" ht="21" thickBot="1">
      <c r="C138" s="95" t="s">
        <v>6</v>
      </c>
      <c r="D138" s="96"/>
      <c r="E138" s="96"/>
      <c r="L138" s="48"/>
    </row>
    <row r="139" spans="3:12" ht="21" thickBot="1">
      <c r="C139" s="97" t="s">
        <v>60</v>
      </c>
      <c r="D139" s="99"/>
      <c r="E139" s="99"/>
      <c r="G139" s="232" t="e">
        <f>D139/D138</f>
        <v>#DIV/0!</v>
      </c>
      <c r="H139" s="232" t="e">
        <f>E139/E138</f>
        <v>#DIV/0!</v>
      </c>
    </row>
    <row r="140" spans="3:12" ht="21" thickBot="1">
      <c r="C140" s="97" t="s">
        <v>61</v>
      </c>
      <c r="D140" s="99"/>
      <c r="E140" s="99"/>
      <c r="G140" s="232" t="e">
        <f>D140/D138</f>
        <v>#DIV/0!</v>
      </c>
      <c r="H140" s="232" t="e">
        <f>E140/E138</f>
        <v>#DIV/0!</v>
      </c>
    </row>
    <row r="141" spans="3:12" ht="15.75" thickBot="1"/>
    <row r="142" spans="3:12" ht="21" thickBot="1">
      <c r="C142" s="387" t="s">
        <v>45</v>
      </c>
      <c r="D142" s="388"/>
      <c r="E142" s="389"/>
    </row>
    <row r="143" spans="3:12" ht="21" thickBot="1">
      <c r="C143" s="93"/>
      <c r="D143" s="94">
        <v>2025</v>
      </c>
      <c r="E143" s="94">
        <v>2026</v>
      </c>
    </row>
    <row r="144" spans="3:12" ht="21" thickBot="1">
      <c r="C144" s="95" t="s">
        <v>6</v>
      </c>
      <c r="D144" s="96"/>
      <c r="E144" s="96"/>
    </row>
    <row r="145" spans="3:8" ht="21" thickBot="1">
      <c r="C145" s="97" t="s">
        <v>60</v>
      </c>
      <c r="D145" s="99"/>
      <c r="E145" s="99"/>
      <c r="G145" s="232" t="e">
        <f>D145/D144</f>
        <v>#DIV/0!</v>
      </c>
      <c r="H145" s="232" t="e">
        <f>E145/E144</f>
        <v>#DIV/0!</v>
      </c>
    </row>
    <row r="146" spans="3:8" ht="21" thickBot="1">
      <c r="C146" s="97" t="s">
        <v>61</v>
      </c>
      <c r="D146" s="99"/>
      <c r="E146" s="99"/>
      <c r="G146" s="232" t="e">
        <f>D146/D144</f>
        <v>#DIV/0!</v>
      </c>
      <c r="H146" s="232" t="e">
        <f>E146/E144</f>
        <v>#DIV/0!</v>
      </c>
    </row>
    <row r="147" spans="3:8" ht="21" thickBot="1">
      <c r="C147" s="334"/>
      <c r="D147" s="335"/>
      <c r="E147" s="335"/>
      <c r="G147" s="232"/>
      <c r="H147" s="232"/>
    </row>
    <row r="148" spans="3:8" ht="21" thickBot="1">
      <c r="C148" s="387" t="s">
        <v>46</v>
      </c>
      <c r="D148" s="388"/>
      <c r="E148" s="389"/>
    </row>
    <row r="149" spans="3:8" ht="21" thickBot="1">
      <c r="C149" s="93"/>
      <c r="D149" s="94">
        <v>2025</v>
      </c>
      <c r="E149" s="94">
        <v>2026</v>
      </c>
    </row>
    <row r="150" spans="3:8" ht="19.5" customHeight="1" thickBot="1">
      <c r="C150" s="95" t="s">
        <v>6</v>
      </c>
      <c r="D150" s="96"/>
      <c r="E150" s="96"/>
    </row>
    <row r="151" spans="3:8" ht="21" thickBot="1">
      <c r="C151" s="97" t="s">
        <v>60</v>
      </c>
      <c r="D151" s="99"/>
      <c r="E151" s="99"/>
      <c r="G151" s="232" t="e">
        <f>D151/D150</f>
        <v>#DIV/0!</v>
      </c>
      <c r="H151" s="232" t="e">
        <f>E151/E150</f>
        <v>#DIV/0!</v>
      </c>
    </row>
    <row r="152" spans="3:8" ht="21" thickBot="1">
      <c r="C152" s="97" t="s">
        <v>61</v>
      </c>
      <c r="D152" s="99"/>
      <c r="E152" s="99"/>
      <c r="G152" s="232" t="e">
        <f>D152/D150</f>
        <v>#DIV/0!</v>
      </c>
      <c r="H152" s="232" t="e">
        <f>E152/E150</f>
        <v>#DIV/0!</v>
      </c>
    </row>
    <row r="153" spans="3:8" ht="15.75" thickBot="1"/>
    <row r="154" spans="3:8" ht="21" thickBot="1">
      <c r="C154" s="387" t="s">
        <v>47</v>
      </c>
      <c r="D154" s="388"/>
      <c r="E154" s="389"/>
    </row>
    <row r="155" spans="3:8" ht="21" thickBot="1">
      <c r="C155" s="93"/>
      <c r="D155" s="94">
        <v>2025</v>
      </c>
      <c r="E155" s="94">
        <v>2026</v>
      </c>
    </row>
    <row r="156" spans="3:8" ht="21" thickBot="1">
      <c r="C156" s="95" t="s">
        <v>6</v>
      </c>
      <c r="D156" s="96"/>
      <c r="E156" s="96"/>
    </row>
    <row r="157" spans="3:8" ht="21" thickBot="1">
      <c r="C157" s="97" t="s">
        <v>60</v>
      </c>
      <c r="D157" s="99"/>
      <c r="E157" s="99"/>
      <c r="G157" s="232" t="e">
        <f>D157/D156</f>
        <v>#DIV/0!</v>
      </c>
      <c r="H157" s="232" t="e">
        <f>E157/E156</f>
        <v>#DIV/0!</v>
      </c>
    </row>
    <row r="158" spans="3:8" ht="21" thickBot="1">
      <c r="C158" s="97" t="s">
        <v>61</v>
      </c>
      <c r="D158" s="99"/>
      <c r="E158" s="99"/>
      <c r="G158" s="232" t="e">
        <f>D158/D156</f>
        <v>#DIV/0!</v>
      </c>
      <c r="H158" s="232" t="e">
        <f>E158/E156</f>
        <v>#DIV/0!</v>
      </c>
    </row>
    <row r="160" spans="3:8" ht="15.75" thickBot="1"/>
    <row r="161" spans="2:11" ht="15.75" thickBot="1">
      <c r="B161" s="401" t="s">
        <v>201</v>
      </c>
      <c r="C161" s="402"/>
      <c r="D161" s="402"/>
      <c r="E161" s="402"/>
      <c r="F161" s="402"/>
      <c r="G161" s="402"/>
      <c r="H161" s="402"/>
      <c r="I161" s="402"/>
      <c r="J161" s="402"/>
      <c r="K161" s="403"/>
    </row>
    <row r="162" spans="2:11" ht="18">
      <c r="B162" s="404" t="s">
        <v>48</v>
      </c>
      <c r="C162" s="406">
        <v>2025</v>
      </c>
      <c r="D162" s="407"/>
      <c r="E162" s="407"/>
      <c r="F162" s="408" t="s">
        <v>6</v>
      </c>
      <c r="G162" s="406">
        <v>2026</v>
      </c>
      <c r="H162" s="407"/>
      <c r="I162" s="407"/>
      <c r="J162" s="408" t="s">
        <v>6</v>
      </c>
      <c r="K162" s="390" t="s">
        <v>107</v>
      </c>
    </row>
    <row r="163" spans="2:11" ht="24.75" thickBot="1">
      <c r="B163" s="405"/>
      <c r="C163" s="24" t="s">
        <v>49</v>
      </c>
      <c r="D163" s="25" t="s">
        <v>50</v>
      </c>
      <c r="E163" s="25" t="s">
        <v>51</v>
      </c>
      <c r="F163" s="409"/>
      <c r="G163" s="24" t="s">
        <v>49</v>
      </c>
      <c r="H163" s="25" t="s">
        <v>50</v>
      </c>
      <c r="I163" s="25" t="s">
        <v>51</v>
      </c>
      <c r="J163" s="409"/>
      <c r="K163" s="391"/>
    </row>
    <row r="164" spans="2:11">
      <c r="B164" s="127" t="s">
        <v>36</v>
      </c>
      <c r="C164" s="128">
        <v>30</v>
      </c>
      <c r="D164" s="342">
        <v>1814</v>
      </c>
      <c r="E164" s="129">
        <v>302</v>
      </c>
      <c r="F164" s="130">
        <f>SUM(C164:E164)</f>
        <v>2146</v>
      </c>
      <c r="G164" s="128">
        <v>34</v>
      </c>
      <c r="H164" s="342">
        <v>1947</v>
      </c>
      <c r="I164" s="129">
        <v>307</v>
      </c>
      <c r="J164" s="130">
        <f>G164+H164+I164</f>
        <v>2288</v>
      </c>
      <c r="K164" s="131">
        <f t="shared" ref="K164:K172" si="6">(J164/F164)-1</f>
        <v>6.6169617893755861E-2</v>
      </c>
    </row>
    <row r="165" spans="2:11">
      <c r="B165" s="127" t="s">
        <v>37</v>
      </c>
      <c r="C165" s="128">
        <v>24</v>
      </c>
      <c r="D165" s="129">
        <v>1549</v>
      </c>
      <c r="E165" s="129">
        <v>353</v>
      </c>
      <c r="F165" s="130">
        <f>SUM(C165:E165)</f>
        <v>1926</v>
      </c>
      <c r="G165" s="128"/>
      <c r="H165" s="129"/>
      <c r="I165" s="129"/>
      <c r="J165" s="130"/>
      <c r="K165" s="236">
        <f t="shared" si="6"/>
        <v>-1</v>
      </c>
    </row>
    <row r="166" spans="2:11">
      <c r="B166" s="127" t="s">
        <v>38</v>
      </c>
      <c r="C166" s="128">
        <v>34</v>
      </c>
      <c r="D166" s="129">
        <v>1727</v>
      </c>
      <c r="E166" s="129">
        <v>387</v>
      </c>
      <c r="F166" s="130">
        <f>SUM(C166:E166)</f>
        <v>2148</v>
      </c>
      <c r="G166" s="128"/>
      <c r="H166" s="129"/>
      <c r="I166" s="129"/>
      <c r="J166" s="130"/>
      <c r="K166" s="131">
        <f t="shared" si="6"/>
        <v>-1</v>
      </c>
    </row>
    <row r="167" spans="2:11" ht="15.75">
      <c r="B167" s="56" t="s">
        <v>39</v>
      </c>
      <c r="C167" s="129">
        <v>38</v>
      </c>
      <c r="D167" s="129">
        <v>1484</v>
      </c>
      <c r="E167" s="129">
        <v>299</v>
      </c>
      <c r="F167" s="130">
        <v>1821</v>
      </c>
      <c r="G167" s="129"/>
      <c r="H167" s="129"/>
      <c r="I167" s="129"/>
      <c r="J167" s="130"/>
      <c r="K167" s="236">
        <f t="shared" si="6"/>
        <v>-1</v>
      </c>
    </row>
    <row r="168" spans="2:11">
      <c r="B168" s="60" t="s">
        <v>40</v>
      </c>
      <c r="C168" s="129">
        <v>20</v>
      </c>
      <c r="D168" s="129">
        <v>1410</v>
      </c>
      <c r="E168" s="129">
        <v>335</v>
      </c>
      <c r="F168" s="130">
        <v>1765</v>
      </c>
      <c r="G168" s="129"/>
      <c r="H168" s="129"/>
      <c r="I168" s="129"/>
      <c r="J168" s="130"/>
      <c r="K168" s="236">
        <f t="shared" si="6"/>
        <v>-1</v>
      </c>
    </row>
    <row r="169" spans="2:11">
      <c r="B169" s="60" t="s">
        <v>41</v>
      </c>
      <c r="C169" s="129">
        <v>28</v>
      </c>
      <c r="D169" s="129">
        <v>1542</v>
      </c>
      <c r="E169" s="129">
        <v>304</v>
      </c>
      <c r="F169" s="130">
        <v>1874</v>
      </c>
      <c r="G169" s="129"/>
      <c r="H169" s="129"/>
      <c r="I169" s="129"/>
      <c r="J169" s="130"/>
      <c r="K169" s="236">
        <f t="shared" si="6"/>
        <v>-1</v>
      </c>
    </row>
    <row r="170" spans="2:11">
      <c r="B170" s="60" t="s">
        <v>42</v>
      </c>
      <c r="C170" s="317">
        <v>42</v>
      </c>
      <c r="D170" s="129">
        <v>1595</v>
      </c>
      <c r="E170" s="317">
        <v>367</v>
      </c>
      <c r="F170" s="318">
        <v>2004</v>
      </c>
      <c r="G170" s="317"/>
      <c r="H170" s="317"/>
      <c r="I170" s="317"/>
      <c r="J170" s="318"/>
      <c r="K170" s="319">
        <f t="shared" si="6"/>
        <v>-1</v>
      </c>
    </row>
    <row r="171" spans="2:11">
      <c r="B171" s="60" t="s">
        <v>43</v>
      </c>
      <c r="C171" s="129">
        <v>84</v>
      </c>
      <c r="D171" s="129">
        <v>1612</v>
      </c>
      <c r="E171" s="129">
        <v>419</v>
      </c>
      <c r="F171" s="130">
        <f>C171+D171+E171</f>
        <v>2115</v>
      </c>
      <c r="G171" s="129"/>
      <c r="H171" s="129"/>
      <c r="I171" s="129"/>
      <c r="J171" s="130"/>
      <c r="K171" s="319">
        <f t="shared" si="6"/>
        <v>-1</v>
      </c>
    </row>
    <row r="172" spans="2:11">
      <c r="B172" s="60" t="s">
        <v>44</v>
      </c>
      <c r="C172" s="129">
        <v>46</v>
      </c>
      <c r="D172" s="129">
        <v>1579</v>
      </c>
      <c r="E172" s="129">
        <v>387</v>
      </c>
      <c r="F172" s="130">
        <f>C172+D172+E172</f>
        <v>2012</v>
      </c>
      <c r="G172" s="129"/>
      <c r="H172" s="129"/>
      <c r="I172" s="129"/>
      <c r="J172" s="130"/>
      <c r="K172" s="319">
        <f t="shared" si="6"/>
        <v>-1</v>
      </c>
    </row>
    <row r="173" spans="2:11">
      <c r="B173" s="60" t="s">
        <v>45</v>
      </c>
      <c r="C173" s="129">
        <v>36</v>
      </c>
      <c r="D173" s="129">
        <v>1709</v>
      </c>
      <c r="E173" s="129">
        <v>417</v>
      </c>
      <c r="F173" s="130">
        <f>C173+D173+E173</f>
        <v>2162</v>
      </c>
      <c r="G173" s="129"/>
      <c r="H173" s="129"/>
      <c r="I173" s="129"/>
      <c r="J173" s="130"/>
      <c r="K173" s="319">
        <f>(J173/F173)-1</f>
        <v>-1</v>
      </c>
    </row>
    <row r="174" spans="2:11">
      <c r="B174" s="60" t="s">
        <v>46</v>
      </c>
      <c r="C174" s="129">
        <v>30</v>
      </c>
      <c r="D174" s="129">
        <v>1813</v>
      </c>
      <c r="E174" s="129">
        <v>379</v>
      </c>
      <c r="F174" s="130">
        <f>C174+D174+E174</f>
        <v>2222</v>
      </c>
      <c r="G174" s="129"/>
      <c r="H174" s="129"/>
      <c r="I174" s="129"/>
      <c r="J174" s="130"/>
      <c r="K174" s="319">
        <f>(J174/F174)-1</f>
        <v>-1</v>
      </c>
    </row>
    <row r="175" spans="2:11" ht="15.75" thickBot="1">
      <c r="B175" s="60" t="s">
        <v>47</v>
      </c>
      <c r="C175" s="129">
        <v>36</v>
      </c>
      <c r="D175" s="129">
        <v>1951</v>
      </c>
      <c r="E175" s="129">
        <v>297</v>
      </c>
      <c r="F175" s="130">
        <f>C175+D175+E175</f>
        <v>2284</v>
      </c>
      <c r="G175" s="129"/>
      <c r="H175" s="129"/>
      <c r="I175" s="129"/>
      <c r="J175" s="130"/>
      <c r="K175" s="319">
        <f>(J175/F175)-1</f>
        <v>-1</v>
      </c>
    </row>
    <row r="176" spans="2:11" ht="21" thickBot="1">
      <c r="B176" s="133" t="s">
        <v>6</v>
      </c>
      <c r="C176" s="134">
        <f t="shared" ref="C176:J176" si="7">SUM(C164:C175)</f>
        <v>448</v>
      </c>
      <c r="D176" s="135">
        <f t="shared" si="7"/>
        <v>19785</v>
      </c>
      <c r="E176" s="135">
        <f t="shared" si="7"/>
        <v>4246</v>
      </c>
      <c r="F176" s="136">
        <f t="shared" si="7"/>
        <v>24479</v>
      </c>
      <c r="G176" s="134">
        <f t="shared" si="7"/>
        <v>34</v>
      </c>
      <c r="H176" s="134">
        <f t="shared" si="7"/>
        <v>1947</v>
      </c>
      <c r="I176" s="134">
        <f t="shared" si="7"/>
        <v>307</v>
      </c>
      <c r="J176" s="134">
        <f t="shared" si="7"/>
        <v>2288</v>
      </c>
      <c r="K176" s="258">
        <f>(J176/(F164+F165+F166+F167+F168+F169+F170))-1</f>
        <v>-0.83279742765273312</v>
      </c>
    </row>
  </sheetData>
  <mergeCells count="33">
    <mergeCell ref="B161:K161"/>
    <mergeCell ref="B162:B163"/>
    <mergeCell ref="C162:E162"/>
    <mergeCell ref="F162:F163"/>
    <mergeCell ref="G162:I162"/>
    <mergeCell ref="J162:J163"/>
    <mergeCell ref="K162:K163"/>
    <mergeCell ref="C142:E142"/>
    <mergeCell ref="B60:I60"/>
    <mergeCell ref="C148:E148"/>
    <mergeCell ref="C154:E154"/>
    <mergeCell ref="G49:K49"/>
    <mergeCell ref="C49:F49"/>
    <mergeCell ref="C100:E100"/>
    <mergeCell ref="C106:E106"/>
    <mergeCell ref="C94:E94"/>
    <mergeCell ref="C88:E88"/>
    <mergeCell ref="B2:M2"/>
    <mergeCell ref="C130:E130"/>
    <mergeCell ref="C136:E136"/>
    <mergeCell ref="C124:E124"/>
    <mergeCell ref="K33:K34"/>
    <mergeCell ref="B84:J84"/>
    <mergeCell ref="C118:E118"/>
    <mergeCell ref="B74:J74"/>
    <mergeCell ref="B69:H69"/>
    <mergeCell ref="C112:E112"/>
    <mergeCell ref="B32:K32"/>
    <mergeCell ref="B33:B34"/>
    <mergeCell ref="C33:E33"/>
    <mergeCell ref="F33:F34"/>
    <mergeCell ref="G33:I33"/>
    <mergeCell ref="J33:J3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59"/>
  <sheetViews>
    <sheetView workbookViewId="0">
      <selection activeCell="B2" sqref="B2:C7"/>
    </sheetView>
  </sheetViews>
  <sheetFormatPr baseColWidth="10" defaultRowHeight="15"/>
  <cols>
    <col min="2" max="2" width="18" customWidth="1"/>
    <col min="3" max="3" width="16.28515625" customWidth="1"/>
    <col min="4" max="10" width="11.140625" customWidth="1"/>
    <col min="11" max="14" width="13.28515625" customWidth="1"/>
    <col min="23" max="23" width="32.42578125" customWidth="1"/>
  </cols>
  <sheetData>
    <row r="1" spans="2:3" ht="15.75" thickBot="1"/>
    <row r="2" spans="2:3" ht="23.25" customHeight="1">
      <c r="B2" s="416" t="s">
        <v>177</v>
      </c>
      <c r="C2" s="417"/>
    </row>
    <row r="3" spans="2:3" ht="18.75" customHeight="1">
      <c r="B3" s="85" t="s">
        <v>0</v>
      </c>
      <c r="C3" s="86" t="s">
        <v>78</v>
      </c>
    </row>
    <row r="4" spans="2:3" ht="18.75" customHeight="1">
      <c r="B4" s="182" t="s">
        <v>3</v>
      </c>
      <c r="C4" s="183">
        <v>7435</v>
      </c>
    </row>
    <row r="5" spans="2:3" ht="18.75" customHeight="1">
      <c r="B5" s="182" t="s">
        <v>5</v>
      </c>
      <c r="C5" s="183">
        <v>0</v>
      </c>
    </row>
    <row r="6" spans="2:3" ht="18.75" customHeight="1">
      <c r="B6" s="182" t="s">
        <v>77</v>
      </c>
      <c r="C6" s="183">
        <v>62350</v>
      </c>
    </row>
    <row r="7" spans="2:3" ht="26.25" customHeight="1" thickBot="1">
      <c r="B7" s="184" t="s">
        <v>6</v>
      </c>
      <c r="C7" s="185">
        <f>SUM(C4:C6)</f>
        <v>69785</v>
      </c>
    </row>
    <row r="8" spans="2:3" ht="15.75" thickBot="1"/>
    <row r="9" spans="2:3" ht="37.5" customHeight="1">
      <c r="B9" s="423" t="s">
        <v>179</v>
      </c>
      <c r="C9" s="424"/>
    </row>
    <row r="10" spans="2:3">
      <c r="B10" s="85" t="s">
        <v>0</v>
      </c>
      <c r="C10" s="86" t="s">
        <v>78</v>
      </c>
    </row>
    <row r="11" spans="2:3">
      <c r="B11" s="182" t="s">
        <v>5</v>
      </c>
      <c r="C11" s="183">
        <v>0</v>
      </c>
    </row>
    <row r="12" spans="2:3">
      <c r="B12" s="182" t="s">
        <v>3</v>
      </c>
      <c r="C12" s="183">
        <f>7435</f>
        <v>7435</v>
      </c>
    </row>
    <row r="13" spans="2:3">
      <c r="B13" s="182" t="s">
        <v>77</v>
      </c>
      <c r="C13" s="183">
        <f>62350</f>
        <v>62350</v>
      </c>
    </row>
    <row r="14" spans="2:3" ht="26.25" thickBot="1">
      <c r="B14" s="233" t="s">
        <v>120</v>
      </c>
      <c r="C14" s="185">
        <f>SUM(C11:C13)</f>
        <v>69785</v>
      </c>
    </row>
    <row r="16" spans="2:3" ht="15.75" thickBot="1"/>
    <row r="17" spans="2:14" ht="33.75" customHeight="1">
      <c r="B17" s="423" t="s">
        <v>178</v>
      </c>
      <c r="C17" s="424"/>
    </row>
    <row r="18" spans="2:14">
      <c r="B18" s="85" t="s">
        <v>0</v>
      </c>
      <c r="C18" s="86" t="s">
        <v>78</v>
      </c>
    </row>
    <row r="19" spans="2:14">
      <c r="B19" s="182" t="s">
        <v>5</v>
      </c>
      <c r="C19" s="183">
        <v>0</v>
      </c>
    </row>
    <row r="20" spans="2:14">
      <c r="B20" s="182" t="s">
        <v>3</v>
      </c>
      <c r="C20" s="183">
        <v>0</v>
      </c>
    </row>
    <row r="21" spans="2:14">
      <c r="B21" s="182" t="s">
        <v>77</v>
      </c>
      <c r="C21" s="183">
        <v>0</v>
      </c>
    </row>
    <row r="22" spans="2:14" ht="26.25" thickBot="1">
      <c r="B22" s="233" t="s">
        <v>180</v>
      </c>
      <c r="C22" s="185">
        <f>SUM(C19:C21)</f>
        <v>0</v>
      </c>
    </row>
    <row r="23" spans="2:14" ht="15.75" thickBot="1"/>
    <row r="24" spans="2:14" ht="15.75" thickBot="1">
      <c r="B24" s="111"/>
      <c r="C24" s="425" t="s">
        <v>99</v>
      </c>
      <c r="D24" s="426"/>
      <c r="E24" s="426"/>
      <c r="F24" s="426"/>
      <c r="G24" s="426"/>
      <c r="H24" s="426"/>
      <c r="I24" s="426"/>
      <c r="J24" s="272"/>
      <c r="K24" s="272"/>
      <c r="L24" s="272"/>
      <c r="M24" s="272"/>
      <c r="N24" s="273"/>
    </row>
    <row r="25" spans="2:14">
      <c r="B25" s="112"/>
      <c r="C25" s="276"/>
      <c r="D25" s="277"/>
      <c r="E25" s="277"/>
      <c r="F25" s="277"/>
      <c r="G25" s="277"/>
      <c r="H25" s="277"/>
      <c r="I25" s="277"/>
      <c r="J25" s="277"/>
      <c r="K25" s="277"/>
      <c r="L25" s="277"/>
      <c r="M25" s="277"/>
      <c r="N25" s="278"/>
    </row>
    <row r="26" spans="2:14" ht="26.25">
      <c r="B26" s="121" t="s">
        <v>182</v>
      </c>
      <c r="C26" s="113" t="s">
        <v>79</v>
      </c>
      <c r="D26" s="114" t="s">
        <v>80</v>
      </c>
      <c r="E26" s="114" t="s">
        <v>81</v>
      </c>
      <c r="F26" s="114" t="s">
        <v>82</v>
      </c>
      <c r="G26" s="114" t="s">
        <v>83</v>
      </c>
      <c r="H26" s="114" t="s">
        <v>84</v>
      </c>
      <c r="I26" s="114" t="s">
        <v>85</v>
      </c>
      <c r="J26" s="114" t="s">
        <v>86</v>
      </c>
      <c r="K26" s="114" t="s">
        <v>87</v>
      </c>
      <c r="L26" s="114" t="s">
        <v>88</v>
      </c>
      <c r="M26" s="114" t="s">
        <v>89</v>
      </c>
      <c r="N26" s="115" t="s">
        <v>90</v>
      </c>
    </row>
    <row r="27" spans="2:14">
      <c r="B27" s="116" t="s">
        <v>91</v>
      </c>
      <c r="C27" s="117">
        <v>7435</v>
      </c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9"/>
    </row>
    <row r="28" spans="2:14">
      <c r="B28" s="120" t="s">
        <v>181</v>
      </c>
      <c r="C28" s="433">
        <f>SUM(C27:N27)</f>
        <v>7435</v>
      </c>
      <c r="D28" s="434"/>
      <c r="E28" s="434"/>
      <c r="F28" s="434"/>
      <c r="G28" s="434"/>
      <c r="H28" s="434"/>
      <c r="I28" s="434"/>
      <c r="J28" s="434"/>
      <c r="K28" s="434"/>
      <c r="L28" s="279"/>
      <c r="M28" s="279"/>
      <c r="N28" s="280"/>
    </row>
    <row r="29" spans="2:14" ht="12.75" customHeight="1" thickBot="1">
      <c r="B29" s="427" t="s">
        <v>92</v>
      </c>
      <c r="C29" s="428"/>
      <c r="D29" s="428"/>
      <c r="E29" s="428"/>
      <c r="F29" s="428"/>
      <c r="G29" s="428"/>
      <c r="H29" s="428"/>
      <c r="I29" s="428"/>
      <c r="J29" s="274"/>
      <c r="K29" s="274"/>
      <c r="L29" s="274"/>
      <c r="M29" s="274"/>
      <c r="N29" s="275"/>
    </row>
    <row r="31" spans="2:14" ht="15.75" thickBot="1"/>
    <row r="32" spans="2:14" ht="15.75" thickBot="1">
      <c r="B32" s="46"/>
      <c r="C32" s="429" t="s">
        <v>100</v>
      </c>
      <c r="D32" s="430"/>
      <c r="E32" s="430"/>
      <c r="F32" s="430"/>
      <c r="G32" s="430"/>
      <c r="H32" s="430"/>
      <c r="I32" s="430"/>
      <c r="J32" s="281"/>
      <c r="K32" s="281"/>
      <c r="L32" s="281"/>
      <c r="M32" s="281"/>
      <c r="N32" s="282"/>
    </row>
    <row r="33" spans="2:14">
      <c r="B33" s="47"/>
      <c r="C33" s="283"/>
      <c r="D33" s="284"/>
      <c r="E33" s="284"/>
      <c r="F33" s="284"/>
      <c r="G33" s="284"/>
      <c r="H33" s="284"/>
      <c r="I33" s="284"/>
      <c r="J33" s="284"/>
      <c r="K33" s="284"/>
      <c r="L33" s="284"/>
      <c r="M33" s="284"/>
      <c r="N33" s="285"/>
    </row>
    <row r="34" spans="2:14" ht="26.25">
      <c r="B34" s="340" t="s">
        <v>182</v>
      </c>
      <c r="C34" s="105" t="s">
        <v>79</v>
      </c>
      <c r="D34" s="106" t="s">
        <v>80</v>
      </c>
      <c r="E34" s="106" t="s">
        <v>81</v>
      </c>
      <c r="F34" s="106" t="s">
        <v>82</v>
      </c>
      <c r="G34" s="106" t="s">
        <v>83</v>
      </c>
      <c r="H34" s="106" t="s">
        <v>84</v>
      </c>
      <c r="I34" s="106" t="s">
        <v>85</v>
      </c>
      <c r="J34" s="106" t="s">
        <v>86</v>
      </c>
      <c r="K34" s="106" t="s">
        <v>87</v>
      </c>
      <c r="L34" s="106" t="s">
        <v>88</v>
      </c>
      <c r="M34" s="106" t="s">
        <v>89</v>
      </c>
      <c r="N34" s="107" t="s">
        <v>90</v>
      </c>
    </row>
    <row r="35" spans="2:14">
      <c r="B35" s="102" t="s">
        <v>91</v>
      </c>
      <c r="C35" s="103">
        <v>62350</v>
      </c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67"/>
    </row>
    <row r="36" spans="2:14">
      <c r="B36" s="101" t="s">
        <v>183</v>
      </c>
      <c r="C36" s="431">
        <f>SUM(C35:N35)</f>
        <v>62350</v>
      </c>
      <c r="D36" s="432"/>
      <c r="E36" s="432"/>
      <c r="F36" s="432"/>
      <c r="G36" s="432"/>
      <c r="H36" s="432"/>
      <c r="I36" s="432"/>
      <c r="J36" s="432"/>
      <c r="K36" s="432"/>
      <c r="L36" s="286"/>
      <c r="M36" s="286"/>
      <c r="N36" s="287"/>
    </row>
    <row r="37" spans="2:14" ht="15.75" customHeight="1" thickBot="1">
      <c r="B37" s="441" t="s">
        <v>92</v>
      </c>
      <c r="C37" s="442"/>
      <c r="D37" s="442"/>
      <c r="E37" s="442"/>
      <c r="F37" s="442"/>
      <c r="G37" s="442"/>
      <c r="H37" s="442"/>
      <c r="I37" s="442"/>
      <c r="J37" s="288"/>
      <c r="K37" s="288"/>
      <c r="L37" s="288"/>
      <c r="M37" s="288"/>
      <c r="N37" s="289"/>
    </row>
    <row r="39" spans="2:14" ht="15.75" thickBot="1"/>
    <row r="40" spans="2:14" ht="15.75" thickBot="1">
      <c r="B40" s="46"/>
      <c r="C40" s="418" t="s">
        <v>100</v>
      </c>
      <c r="D40" s="419"/>
      <c r="E40" s="419"/>
      <c r="F40" s="419"/>
      <c r="G40" s="419"/>
      <c r="H40" s="419"/>
      <c r="I40" s="419"/>
      <c r="J40" s="419"/>
      <c r="K40" s="419"/>
      <c r="L40" s="419"/>
      <c r="M40" s="419"/>
      <c r="N40" s="420"/>
    </row>
    <row r="41" spans="2:14" ht="19.5" customHeight="1">
      <c r="B41" s="47"/>
      <c r="C41" s="421"/>
      <c r="D41" s="421"/>
      <c r="E41" s="421"/>
      <c r="F41" s="421"/>
      <c r="G41" s="421"/>
      <c r="H41" s="421"/>
      <c r="I41" s="421"/>
      <c r="J41" s="421"/>
      <c r="K41" s="421"/>
      <c r="L41" s="421"/>
      <c r="M41" s="421"/>
      <c r="N41" s="422"/>
    </row>
    <row r="42" spans="2:14" ht="26.25">
      <c r="B42" s="341" t="s">
        <v>182</v>
      </c>
      <c r="C42" s="108" t="s">
        <v>79</v>
      </c>
      <c r="D42" s="108" t="s">
        <v>80</v>
      </c>
      <c r="E42" s="108" t="s">
        <v>81</v>
      </c>
      <c r="F42" s="108" t="s">
        <v>82</v>
      </c>
      <c r="G42" s="108" t="s">
        <v>83</v>
      </c>
      <c r="H42" s="108" t="s">
        <v>84</v>
      </c>
      <c r="I42" s="108" t="s">
        <v>85</v>
      </c>
      <c r="J42" s="108" t="s">
        <v>86</v>
      </c>
      <c r="K42" s="108" t="s">
        <v>87</v>
      </c>
      <c r="L42" s="108" t="s">
        <v>88</v>
      </c>
      <c r="M42" s="108" t="s">
        <v>89</v>
      </c>
      <c r="N42" s="109" t="s">
        <v>90</v>
      </c>
    </row>
    <row r="43" spans="2:14">
      <c r="B43" s="110" t="s">
        <v>91</v>
      </c>
      <c r="C43" s="104">
        <v>0</v>
      </c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67"/>
    </row>
    <row r="44" spans="2:14">
      <c r="B44" s="100" t="s">
        <v>181</v>
      </c>
      <c r="C44" s="444">
        <f>+C43</f>
        <v>0</v>
      </c>
      <c r="D44" s="432"/>
      <c r="E44" s="432"/>
      <c r="F44" s="432"/>
      <c r="G44" s="432"/>
      <c r="H44" s="432"/>
      <c r="I44" s="432"/>
      <c r="J44" s="432"/>
      <c r="K44" s="432"/>
      <c r="L44" s="286"/>
      <c r="M44" s="286"/>
      <c r="N44" s="287"/>
    </row>
    <row r="45" spans="2:14" ht="14.25" customHeight="1" thickBot="1">
      <c r="B45" s="427" t="s">
        <v>92</v>
      </c>
      <c r="C45" s="428"/>
      <c r="D45" s="428"/>
      <c r="E45" s="428"/>
      <c r="F45" s="428"/>
      <c r="G45" s="428"/>
      <c r="H45" s="428"/>
      <c r="I45" s="428"/>
      <c r="J45" s="428"/>
      <c r="K45" s="428"/>
      <c r="L45" s="428"/>
      <c r="M45" s="428"/>
      <c r="N45" s="443"/>
    </row>
    <row r="47" spans="2:14" ht="15.75" thickBot="1"/>
    <row r="48" spans="2:14">
      <c r="B48" s="435" t="s">
        <v>100</v>
      </c>
      <c r="C48" s="436"/>
      <c r="D48" s="436"/>
      <c r="E48" s="436"/>
      <c r="F48" s="436"/>
      <c r="G48" s="436"/>
      <c r="H48" s="436"/>
      <c r="I48" s="436"/>
      <c r="J48" s="436"/>
      <c r="K48" s="436"/>
      <c r="L48" s="436"/>
      <c r="M48" s="436"/>
      <c r="N48" s="437"/>
    </row>
    <row r="49" spans="2:15" ht="26.25">
      <c r="B49" s="144" t="s">
        <v>182</v>
      </c>
      <c r="C49" s="145" t="s">
        <v>79</v>
      </c>
      <c r="D49" s="145" t="s">
        <v>80</v>
      </c>
      <c r="E49" s="145" t="s">
        <v>81</v>
      </c>
      <c r="F49" s="145" t="s">
        <v>82</v>
      </c>
      <c r="G49" s="145" t="s">
        <v>83</v>
      </c>
      <c r="H49" s="145" t="s">
        <v>84</v>
      </c>
      <c r="I49" s="145" t="s">
        <v>85</v>
      </c>
      <c r="J49" s="145" t="s">
        <v>86</v>
      </c>
      <c r="K49" s="145" t="s">
        <v>87</v>
      </c>
      <c r="L49" s="145" t="s">
        <v>88</v>
      </c>
      <c r="M49" s="145" t="s">
        <v>89</v>
      </c>
      <c r="N49" s="146" t="s">
        <v>90</v>
      </c>
    </row>
    <row r="50" spans="2:15">
      <c r="B50" s="122" t="s">
        <v>77</v>
      </c>
      <c r="C50" s="117">
        <v>62350</v>
      </c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9"/>
      <c r="O50" s="339">
        <f>SUM(C50:N50)</f>
        <v>62350</v>
      </c>
    </row>
    <row r="51" spans="2:15">
      <c r="B51" s="122" t="s">
        <v>3</v>
      </c>
      <c r="C51" s="117">
        <v>7435</v>
      </c>
      <c r="D51" s="118"/>
      <c r="E51" s="118"/>
      <c r="F51" s="118"/>
      <c r="G51" s="118"/>
      <c r="H51" s="118"/>
      <c r="I51" s="118"/>
      <c r="J51" s="118"/>
      <c r="K51" s="118"/>
      <c r="L51" s="118"/>
      <c r="M51" s="118"/>
      <c r="N51" s="119"/>
      <c r="O51" s="339">
        <f>SUM(C51:N51)</f>
        <v>7435</v>
      </c>
    </row>
    <row r="52" spans="2:15">
      <c r="B52" s="122" t="s">
        <v>5</v>
      </c>
      <c r="C52" s="118">
        <v>0</v>
      </c>
      <c r="D52" s="118"/>
      <c r="E52" s="118"/>
      <c r="F52" s="118"/>
      <c r="G52" s="118"/>
      <c r="H52" s="118"/>
      <c r="I52" s="118"/>
      <c r="J52" s="118"/>
      <c r="K52" s="118"/>
      <c r="L52" s="118"/>
      <c r="M52" s="118"/>
      <c r="N52" s="119"/>
      <c r="O52" s="339">
        <f t="shared" ref="O52:O53" si="0">SUM(C52:N52)</f>
        <v>0</v>
      </c>
    </row>
    <row r="53" spans="2:15" ht="18">
      <c r="B53" s="124" t="s">
        <v>96</v>
      </c>
      <c r="C53" s="125">
        <f t="shared" ref="C53:F53" si="1">SUM(C50:C52)</f>
        <v>69785</v>
      </c>
      <c r="D53" s="125">
        <f t="shared" si="1"/>
        <v>0</v>
      </c>
      <c r="E53" s="125">
        <f t="shared" si="1"/>
        <v>0</v>
      </c>
      <c r="F53" s="125">
        <f t="shared" si="1"/>
        <v>0</v>
      </c>
      <c r="G53" s="125">
        <f>SUM(G50:G52)</f>
        <v>0</v>
      </c>
      <c r="H53" s="125">
        <f>SUM(H50:H52)</f>
        <v>0</v>
      </c>
      <c r="I53" s="125">
        <f>SUM(I50:I52)</f>
        <v>0</v>
      </c>
      <c r="J53" s="125">
        <f t="shared" ref="J53:N53" si="2">SUM(J50:J52)</f>
        <v>0</v>
      </c>
      <c r="K53" s="125">
        <f t="shared" si="2"/>
        <v>0</v>
      </c>
      <c r="L53" s="125">
        <f t="shared" si="2"/>
        <v>0</v>
      </c>
      <c r="M53" s="125">
        <f>SUM(M50:M52)</f>
        <v>0</v>
      </c>
      <c r="N53" s="125">
        <f t="shared" si="2"/>
        <v>0</v>
      </c>
      <c r="O53" s="339">
        <f t="shared" si="0"/>
        <v>69785</v>
      </c>
    </row>
    <row r="54" spans="2:15" ht="18">
      <c r="B54" s="123" t="s">
        <v>181</v>
      </c>
      <c r="C54" s="438">
        <f>SUM(C53:N53)</f>
        <v>69785</v>
      </c>
      <c r="D54" s="439"/>
      <c r="E54" s="439"/>
      <c r="F54" s="439"/>
      <c r="G54" s="439"/>
      <c r="H54" s="439"/>
      <c r="I54" s="439"/>
      <c r="J54" s="439"/>
      <c r="K54" s="439"/>
      <c r="L54" s="439"/>
      <c r="M54" s="439"/>
      <c r="N54" s="440"/>
    </row>
    <row r="55" spans="2:15" ht="17.25" customHeight="1" thickBot="1">
      <c r="B55" s="427" t="s">
        <v>92</v>
      </c>
      <c r="C55" s="428"/>
      <c r="D55" s="428"/>
      <c r="E55" s="428"/>
      <c r="F55" s="428"/>
      <c r="G55" s="428"/>
      <c r="H55" s="428"/>
      <c r="I55" s="428"/>
      <c r="J55" s="274"/>
      <c r="K55" s="274"/>
      <c r="L55" s="274"/>
      <c r="M55" s="274"/>
      <c r="N55" s="275"/>
    </row>
    <row r="57" spans="2:15">
      <c r="C57" s="48"/>
    </row>
    <row r="58" spans="2:15">
      <c r="C58" s="48"/>
    </row>
    <row r="59" spans="2:15">
      <c r="C59" s="339"/>
    </row>
  </sheetData>
  <mergeCells count="16">
    <mergeCell ref="B55:I55"/>
    <mergeCell ref="B48:N48"/>
    <mergeCell ref="C54:N54"/>
    <mergeCell ref="B37:I37"/>
    <mergeCell ref="B45:N45"/>
    <mergeCell ref="C44:K44"/>
    <mergeCell ref="B2:C2"/>
    <mergeCell ref="C40:N40"/>
    <mergeCell ref="C41:N41"/>
    <mergeCell ref="B17:C17"/>
    <mergeCell ref="C24:I24"/>
    <mergeCell ref="B29:I29"/>
    <mergeCell ref="C32:I32"/>
    <mergeCell ref="C36:K36"/>
    <mergeCell ref="C28:K28"/>
    <mergeCell ref="B9:C9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3"/>
  <sheetViews>
    <sheetView workbookViewId="0">
      <selection activeCell="B36" sqref="B36"/>
    </sheetView>
  </sheetViews>
  <sheetFormatPr baseColWidth="10" defaultRowHeight="15"/>
  <cols>
    <col min="2" max="2" width="34.7109375" customWidth="1"/>
    <col min="3" max="3" width="13.42578125" customWidth="1"/>
    <col min="4" max="4" width="17.140625" customWidth="1"/>
    <col min="5" max="5" width="22" customWidth="1"/>
    <col min="6" max="6" width="21.42578125" customWidth="1"/>
    <col min="7" max="7" width="25.140625" customWidth="1"/>
    <col min="10" max="10" width="18.5703125" customWidth="1"/>
  </cols>
  <sheetData>
    <row r="1" spans="1:11" ht="29.25" customHeight="1" thickBot="1"/>
    <row r="2" spans="1:11" ht="24" customHeight="1">
      <c r="A2" s="445" t="s">
        <v>184</v>
      </c>
      <c r="B2" s="446"/>
      <c r="C2" s="446"/>
      <c r="D2" s="446"/>
      <c r="E2" s="446"/>
      <c r="F2" s="446"/>
      <c r="G2" s="447"/>
    </row>
    <row r="3" spans="1:11" ht="22.5" customHeight="1">
      <c r="A3" s="27" t="s">
        <v>48</v>
      </c>
      <c r="B3" s="28" t="s">
        <v>62</v>
      </c>
      <c r="C3" s="28" t="s">
        <v>63</v>
      </c>
      <c r="D3" s="28" t="s">
        <v>64</v>
      </c>
      <c r="E3" s="29" t="s">
        <v>65</v>
      </c>
      <c r="F3" s="30" t="s">
        <v>66</v>
      </c>
      <c r="G3" s="31" t="s">
        <v>67</v>
      </c>
    </row>
    <row r="4" spans="1:11" ht="17.25" customHeight="1">
      <c r="A4" s="32" t="s">
        <v>36</v>
      </c>
      <c r="B4" s="448" t="s">
        <v>68</v>
      </c>
      <c r="C4" s="33"/>
      <c r="D4" s="34"/>
      <c r="E4" s="35"/>
      <c r="F4" s="36"/>
      <c r="G4" s="37"/>
    </row>
    <row r="5" spans="1:11" ht="17.25" customHeight="1">
      <c r="A5" s="32" t="s">
        <v>37</v>
      </c>
      <c r="B5" s="449"/>
      <c r="C5" s="33"/>
      <c r="D5" s="34"/>
      <c r="E5" s="35"/>
      <c r="F5" s="76"/>
      <c r="G5" s="75"/>
    </row>
    <row r="6" spans="1:11" ht="17.25" customHeight="1">
      <c r="A6" s="32" t="s">
        <v>38</v>
      </c>
      <c r="B6" s="449"/>
      <c r="C6" s="33"/>
      <c r="D6" s="34"/>
      <c r="E6" s="35"/>
      <c r="F6" s="36"/>
      <c r="G6" s="37"/>
    </row>
    <row r="7" spans="1:11" ht="17.25" customHeight="1">
      <c r="A7" s="32" t="s">
        <v>39</v>
      </c>
      <c r="B7" s="449"/>
      <c r="C7" s="33"/>
      <c r="D7" s="34"/>
      <c r="E7" s="35"/>
      <c r="F7" s="76"/>
      <c r="G7" s="75"/>
    </row>
    <row r="8" spans="1:11" ht="17.25" customHeight="1">
      <c r="A8" s="32" t="s">
        <v>40</v>
      </c>
      <c r="B8" s="449"/>
      <c r="C8" s="63"/>
      <c r="D8" s="34"/>
      <c r="E8" s="35"/>
      <c r="F8" s="36"/>
      <c r="G8" s="75"/>
    </row>
    <row r="9" spans="1:11" ht="17.25" customHeight="1">
      <c r="A9" s="32" t="s">
        <v>41</v>
      </c>
      <c r="B9" s="449"/>
      <c r="C9" s="63"/>
      <c r="D9" s="34"/>
      <c r="E9" s="35"/>
      <c r="F9" s="36"/>
      <c r="G9" s="37"/>
    </row>
    <row r="10" spans="1:11" ht="17.25" customHeight="1">
      <c r="A10" s="32" t="s">
        <v>42</v>
      </c>
      <c r="B10" s="449"/>
      <c r="C10" s="33"/>
      <c r="D10" s="34"/>
      <c r="E10" s="35"/>
      <c r="F10" s="36"/>
      <c r="G10" s="294"/>
    </row>
    <row r="11" spans="1:11" ht="17.25" customHeight="1">
      <c r="A11" s="32" t="s">
        <v>43</v>
      </c>
      <c r="B11" s="449"/>
      <c r="C11" s="63"/>
      <c r="D11" s="327"/>
      <c r="E11" s="35"/>
      <c r="F11" s="36"/>
      <c r="G11" s="165"/>
    </row>
    <row r="12" spans="1:11" ht="17.25" customHeight="1">
      <c r="A12" s="32" t="s">
        <v>44</v>
      </c>
      <c r="B12" s="449"/>
      <c r="C12" s="33"/>
      <c r="D12" s="328"/>
      <c r="E12" s="35"/>
      <c r="F12" s="36"/>
      <c r="G12" s="165"/>
    </row>
    <row r="13" spans="1:11" ht="17.25" customHeight="1">
      <c r="A13" s="32" t="s">
        <v>45</v>
      </c>
      <c r="B13" s="449"/>
      <c r="C13" s="33"/>
      <c r="D13" s="328"/>
      <c r="E13" s="35"/>
      <c r="F13" s="36"/>
      <c r="G13" s="165"/>
    </row>
    <row r="14" spans="1:11" ht="17.25" customHeight="1">
      <c r="A14" s="32" t="s">
        <v>46</v>
      </c>
      <c r="B14" s="449"/>
      <c r="C14" s="33"/>
      <c r="D14" s="34"/>
      <c r="E14" s="35"/>
      <c r="F14" s="36"/>
      <c r="G14" s="75"/>
      <c r="K14" s="290"/>
    </row>
    <row r="15" spans="1:11" ht="17.25" customHeight="1" thickBot="1">
      <c r="A15" s="32" t="s">
        <v>47</v>
      </c>
      <c r="B15" s="450"/>
      <c r="C15" s="38"/>
      <c r="D15" s="150"/>
      <c r="E15" s="39"/>
      <c r="F15" s="40"/>
      <c r="G15" s="266"/>
      <c r="K15" s="290"/>
    </row>
    <row r="16" spans="1:11" ht="15.75" thickBot="1">
      <c r="A16" s="262"/>
      <c r="B16" s="263" t="s">
        <v>6</v>
      </c>
      <c r="C16" s="264">
        <f>SUM(C4:C15)</f>
        <v>0</v>
      </c>
      <c r="D16" s="265">
        <f>SUM(D4:D15)</f>
        <v>0</v>
      </c>
      <c r="E16" s="151"/>
      <c r="F16" s="151"/>
      <c r="G16" s="151"/>
    </row>
    <row r="18" spans="1:10" ht="15.75" thickBot="1"/>
    <row r="19" spans="1:10" ht="18">
      <c r="A19" s="451" t="s">
        <v>185</v>
      </c>
      <c r="B19" s="452"/>
      <c r="C19" s="452"/>
      <c r="D19" s="452"/>
      <c r="E19" s="452"/>
      <c r="F19" s="452"/>
      <c r="G19" s="453"/>
    </row>
    <row r="20" spans="1:10" ht="24">
      <c r="A20" s="267" t="s">
        <v>48</v>
      </c>
      <c r="B20" s="268" t="s">
        <v>62</v>
      </c>
      <c r="C20" s="268" t="s">
        <v>63</v>
      </c>
      <c r="D20" s="268" t="s">
        <v>64</v>
      </c>
      <c r="E20" s="269" t="s">
        <v>69</v>
      </c>
      <c r="F20" s="270" t="s">
        <v>66</v>
      </c>
      <c r="G20" s="271" t="s">
        <v>67</v>
      </c>
    </row>
    <row r="21" spans="1:10" ht="15" customHeight="1">
      <c r="A21" s="32" t="s">
        <v>36</v>
      </c>
      <c r="B21" s="448" t="s">
        <v>70</v>
      </c>
      <c r="C21" s="33"/>
      <c r="D21" s="34"/>
      <c r="E21" s="35"/>
      <c r="F21" s="36"/>
      <c r="G21" s="37"/>
      <c r="J21" s="257"/>
    </row>
    <row r="22" spans="1:10">
      <c r="A22" s="32" t="s">
        <v>37</v>
      </c>
      <c r="B22" s="449"/>
      <c r="C22" s="33"/>
      <c r="D22" s="34"/>
      <c r="E22" s="35"/>
      <c r="F22" s="76"/>
      <c r="G22" s="75"/>
    </row>
    <row r="23" spans="1:10">
      <c r="A23" s="32" t="s">
        <v>38</v>
      </c>
      <c r="B23" s="449"/>
      <c r="C23" s="33"/>
      <c r="D23" s="34"/>
      <c r="E23" s="35"/>
      <c r="F23" s="36"/>
      <c r="G23" s="37"/>
    </row>
    <row r="24" spans="1:10">
      <c r="A24" s="32" t="s">
        <v>39</v>
      </c>
      <c r="B24" s="449"/>
      <c r="C24" s="33"/>
      <c r="D24" s="34"/>
      <c r="E24" s="35"/>
      <c r="F24" s="76"/>
      <c r="G24" s="75"/>
    </row>
    <row r="25" spans="1:10">
      <c r="A25" s="32" t="s">
        <v>40</v>
      </c>
      <c r="B25" s="449"/>
      <c r="C25" s="33"/>
      <c r="D25" s="34"/>
      <c r="E25" s="35"/>
      <c r="F25" s="36"/>
      <c r="G25" s="37"/>
    </row>
    <row r="26" spans="1:10">
      <c r="A26" s="32" t="s">
        <v>41</v>
      </c>
      <c r="B26" s="449"/>
      <c r="C26" s="33"/>
      <c r="D26" s="34"/>
      <c r="E26" s="35"/>
      <c r="F26" s="36"/>
      <c r="G26" s="37"/>
    </row>
    <row r="27" spans="1:10">
      <c r="A27" s="32" t="s">
        <v>42</v>
      </c>
      <c r="B27" s="449"/>
      <c r="C27" s="33"/>
      <c r="D27" s="34"/>
      <c r="E27" s="35"/>
      <c r="F27" s="36"/>
      <c r="G27" s="75"/>
    </row>
    <row r="28" spans="1:10">
      <c r="A28" s="32" t="s">
        <v>43</v>
      </c>
      <c r="B28" s="449"/>
      <c r="C28" s="33"/>
      <c r="D28" s="34"/>
      <c r="E28" s="35"/>
      <c r="F28" s="36"/>
      <c r="G28" s="165"/>
    </row>
    <row r="29" spans="1:10">
      <c r="A29" s="32" t="s">
        <v>44</v>
      </c>
      <c r="B29" s="449"/>
      <c r="C29" s="33"/>
      <c r="D29" s="326"/>
      <c r="E29" s="35"/>
      <c r="F29" s="36"/>
      <c r="G29" s="165"/>
    </row>
    <row r="30" spans="1:10">
      <c r="A30" s="32" t="s">
        <v>45</v>
      </c>
      <c r="B30" s="449"/>
      <c r="C30" s="33"/>
      <c r="D30" s="326"/>
      <c r="E30" s="35"/>
      <c r="F30" s="36"/>
      <c r="G30" s="165"/>
    </row>
    <row r="31" spans="1:10">
      <c r="A31" s="32" t="s">
        <v>46</v>
      </c>
      <c r="B31" s="449"/>
      <c r="C31" s="33"/>
      <c r="D31" s="34"/>
      <c r="E31" s="35"/>
      <c r="F31" s="36"/>
      <c r="G31" s="75"/>
    </row>
    <row r="32" spans="1:10" ht="15.75" thickBot="1">
      <c r="A32" s="32" t="s">
        <v>47</v>
      </c>
      <c r="B32" s="450"/>
      <c r="C32" s="38"/>
      <c r="D32" s="150"/>
      <c r="E32" s="39"/>
      <c r="F32" s="40"/>
      <c r="G32" s="266"/>
    </row>
    <row r="33" spans="1:7" ht="15.75" thickBot="1">
      <c r="A33" s="262"/>
      <c r="B33" s="263" t="s">
        <v>6</v>
      </c>
      <c r="C33" s="264">
        <f>SUM(C21:C32)</f>
        <v>0</v>
      </c>
      <c r="D33" s="265">
        <f>SUM(D21:D32)</f>
        <v>0</v>
      </c>
      <c r="E33" s="151"/>
      <c r="F33" s="151"/>
      <c r="G33" s="151"/>
    </row>
  </sheetData>
  <mergeCells count="4">
    <mergeCell ref="A2:G2"/>
    <mergeCell ref="B4:B15"/>
    <mergeCell ref="A19:G19"/>
    <mergeCell ref="B21:B32"/>
  </mergeCells>
  <phoneticPr fontId="60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M62"/>
  <sheetViews>
    <sheetView topLeftCell="H1" workbookViewId="0">
      <selection activeCell="J3" sqref="J3"/>
    </sheetView>
  </sheetViews>
  <sheetFormatPr baseColWidth="10" defaultRowHeight="15"/>
  <cols>
    <col min="2" max="2" width="29.140625" bestFit="1" customWidth="1"/>
    <col min="4" max="4" width="20.85546875" customWidth="1"/>
    <col min="5" max="5" width="16.140625" customWidth="1"/>
    <col min="7" max="7" width="47" customWidth="1"/>
    <col min="9" max="9" width="32" customWidth="1"/>
    <col min="10" max="10" width="17.5703125" customWidth="1"/>
    <col min="11" max="11" width="17.140625" customWidth="1"/>
    <col min="12" max="12" width="16.85546875" bestFit="1" customWidth="1"/>
  </cols>
  <sheetData>
    <row r="1" spans="2:13" ht="15.75" thickBot="1"/>
    <row r="2" spans="2:13">
      <c r="B2" s="152">
        <v>45292</v>
      </c>
      <c r="C2" s="88" t="s">
        <v>71</v>
      </c>
      <c r="D2" s="88" t="s">
        <v>72</v>
      </c>
      <c r="E2" s="88" t="s">
        <v>73</v>
      </c>
      <c r="F2" s="89" t="s">
        <v>74</v>
      </c>
      <c r="I2" s="152">
        <v>45658</v>
      </c>
      <c r="J2" s="88" t="s">
        <v>71</v>
      </c>
      <c r="K2" s="88" t="s">
        <v>72</v>
      </c>
      <c r="L2" s="88" t="s">
        <v>73</v>
      </c>
      <c r="M2" s="89" t="s">
        <v>74</v>
      </c>
    </row>
    <row r="3" spans="2:13">
      <c r="B3" s="90" t="s">
        <v>75</v>
      </c>
      <c r="C3" s="153">
        <v>92083</v>
      </c>
      <c r="D3" s="154">
        <v>1902164300</v>
      </c>
      <c r="E3" s="41">
        <v>5791300</v>
      </c>
      <c r="F3" s="42">
        <v>3.0999999999999999E-3</v>
      </c>
      <c r="I3" s="90" t="s">
        <v>75</v>
      </c>
      <c r="J3" s="153"/>
      <c r="K3" s="228"/>
      <c r="L3" s="41"/>
      <c r="M3" s="42"/>
    </row>
    <row r="4" spans="2:13">
      <c r="B4" s="90" t="s">
        <v>76</v>
      </c>
      <c r="C4" s="153">
        <v>27742</v>
      </c>
      <c r="D4" s="154">
        <v>5291440013.0699997</v>
      </c>
      <c r="E4" s="41">
        <v>1647147814</v>
      </c>
      <c r="F4" s="43">
        <v>0.45200000000000001</v>
      </c>
      <c r="I4" s="90" t="s">
        <v>76</v>
      </c>
      <c r="J4" s="153"/>
      <c r="K4" s="228"/>
      <c r="L4" s="41"/>
      <c r="M4" s="43"/>
    </row>
    <row r="5" spans="2:13" ht="15.75" thickBot="1">
      <c r="B5" s="155" t="s">
        <v>6</v>
      </c>
      <c r="C5" s="156">
        <f>C3+C4</f>
        <v>119825</v>
      </c>
      <c r="D5" s="157">
        <f>D3+D4</f>
        <v>7193604313.0699997</v>
      </c>
      <c r="E5" s="158">
        <f>E3+E4</f>
        <v>1652939114</v>
      </c>
      <c r="F5" s="44"/>
      <c r="I5" s="155" t="s">
        <v>6</v>
      </c>
      <c r="J5" s="156"/>
      <c r="K5" s="157"/>
      <c r="L5" s="158"/>
      <c r="M5" s="44"/>
    </row>
    <row r="6" spans="2:13" ht="15.75" thickBot="1"/>
    <row r="7" spans="2:13">
      <c r="B7" s="152">
        <v>45323</v>
      </c>
      <c r="C7" s="88" t="s">
        <v>71</v>
      </c>
      <c r="D7" s="88" t="s">
        <v>72</v>
      </c>
      <c r="E7" s="88" t="s">
        <v>73</v>
      </c>
      <c r="F7" s="89" t="s">
        <v>74</v>
      </c>
      <c r="I7" s="152">
        <v>45689</v>
      </c>
      <c r="J7" s="88" t="s">
        <v>71</v>
      </c>
      <c r="K7" s="88" t="s">
        <v>72</v>
      </c>
      <c r="L7" s="88" t="s">
        <v>73</v>
      </c>
      <c r="M7" s="89" t="s">
        <v>74</v>
      </c>
    </row>
    <row r="8" spans="2:13">
      <c r="B8" s="90" t="s">
        <v>75</v>
      </c>
      <c r="C8" s="153">
        <v>82698</v>
      </c>
      <c r="D8" s="154">
        <v>1852414300</v>
      </c>
      <c r="E8" s="159">
        <v>-49750000</v>
      </c>
      <c r="F8" s="160">
        <v>-2.6200000000000001E-2</v>
      </c>
      <c r="I8" s="90" t="s">
        <v>75</v>
      </c>
      <c r="J8" s="153"/>
      <c r="K8" s="228"/>
      <c r="L8" s="320"/>
      <c r="M8" s="160"/>
    </row>
    <row r="9" spans="2:13">
      <c r="B9" s="90" t="s">
        <v>76</v>
      </c>
      <c r="C9" s="153">
        <v>18352</v>
      </c>
      <c r="D9" s="154">
        <v>3676193498</v>
      </c>
      <c r="E9" s="159">
        <v>-1615246515</v>
      </c>
      <c r="F9" s="161">
        <v>-0.30530000000000002</v>
      </c>
      <c r="I9" s="90" t="s">
        <v>76</v>
      </c>
      <c r="J9" s="153"/>
      <c r="K9" s="228"/>
      <c r="L9" s="320"/>
      <c r="M9" s="161"/>
    </row>
    <row r="10" spans="2:13" ht="15.75" thickBot="1">
      <c r="B10" s="155" t="s">
        <v>6</v>
      </c>
      <c r="C10" s="156">
        <f>C8+C9</f>
        <v>101050</v>
      </c>
      <c r="D10" s="157">
        <f>D8+D9</f>
        <v>5528607798</v>
      </c>
      <c r="E10" s="162">
        <f>E8+E9</f>
        <v>-1664996515</v>
      </c>
      <c r="F10" s="44"/>
      <c r="I10" s="155" t="s">
        <v>6</v>
      </c>
      <c r="J10" s="156"/>
      <c r="K10" s="157"/>
      <c r="L10" s="321"/>
      <c r="M10" s="231"/>
    </row>
    <row r="11" spans="2:13" ht="15.75" thickBot="1"/>
    <row r="12" spans="2:13">
      <c r="B12" s="152">
        <v>45352</v>
      </c>
      <c r="C12" s="88" t="s">
        <v>71</v>
      </c>
      <c r="D12" s="88" t="s">
        <v>72</v>
      </c>
      <c r="E12" s="88" t="s">
        <v>73</v>
      </c>
      <c r="F12" s="89" t="s">
        <v>74</v>
      </c>
      <c r="I12" s="152">
        <v>45717</v>
      </c>
      <c r="J12" s="88" t="s">
        <v>71</v>
      </c>
      <c r="K12" s="88" t="s">
        <v>72</v>
      </c>
      <c r="L12" s="88" t="s">
        <v>73</v>
      </c>
      <c r="M12" s="89" t="s">
        <v>74</v>
      </c>
    </row>
    <row r="13" spans="2:13">
      <c r="B13" s="90" t="s">
        <v>75</v>
      </c>
      <c r="C13" s="153">
        <v>89478</v>
      </c>
      <c r="D13" s="154">
        <v>2004299600</v>
      </c>
      <c r="E13" s="41">
        <v>151885300</v>
      </c>
      <c r="F13" s="42">
        <v>8.2000000000000003E-2</v>
      </c>
      <c r="I13" s="90" t="s">
        <v>75</v>
      </c>
      <c r="J13" s="153"/>
      <c r="K13" s="228"/>
      <c r="L13" s="180"/>
      <c r="M13" s="181"/>
    </row>
    <row r="14" spans="2:13">
      <c r="B14" s="90" t="s">
        <v>76</v>
      </c>
      <c r="C14" s="153">
        <v>19287</v>
      </c>
      <c r="D14" s="154">
        <v>3848283046</v>
      </c>
      <c r="E14" s="41">
        <v>172089548</v>
      </c>
      <c r="F14" s="43">
        <v>4.6800000000000001E-2</v>
      </c>
      <c r="I14" s="90" t="s">
        <v>76</v>
      </c>
      <c r="J14" s="153"/>
      <c r="K14" s="228"/>
      <c r="L14" s="180"/>
      <c r="M14" s="239"/>
    </row>
    <row r="15" spans="2:13" ht="15.75" thickBot="1">
      <c r="B15" s="155" t="s">
        <v>6</v>
      </c>
      <c r="C15" s="156">
        <f>C13+C14</f>
        <v>108765</v>
      </c>
      <c r="D15" s="157">
        <f>D13+D14</f>
        <v>5852582646</v>
      </c>
      <c r="E15" s="158">
        <f>E13+E14</f>
        <v>323974848</v>
      </c>
      <c r="F15" s="44"/>
      <c r="I15" s="155" t="s">
        <v>6</v>
      </c>
      <c r="J15" s="156"/>
      <c r="K15" s="157"/>
      <c r="L15" s="240"/>
      <c r="M15" s="231"/>
    </row>
    <row r="16" spans="2:13" ht="15.75" thickBot="1">
      <c r="K16" s="228"/>
    </row>
    <row r="17" spans="2:13">
      <c r="B17" s="152">
        <v>45383</v>
      </c>
      <c r="C17" s="88" t="s">
        <v>71</v>
      </c>
      <c r="D17" s="88" t="s">
        <v>72</v>
      </c>
      <c r="E17" s="88" t="s">
        <v>73</v>
      </c>
      <c r="F17" s="89" t="s">
        <v>74</v>
      </c>
      <c r="I17" s="152">
        <v>45748</v>
      </c>
      <c r="J17" s="88" t="s">
        <v>71</v>
      </c>
      <c r="K17" s="88" t="s">
        <v>72</v>
      </c>
      <c r="L17" s="88" t="s">
        <v>73</v>
      </c>
      <c r="M17" s="89" t="s">
        <v>74</v>
      </c>
    </row>
    <row r="18" spans="2:13">
      <c r="B18" s="90" t="s">
        <v>75</v>
      </c>
      <c r="C18" s="153">
        <v>91810</v>
      </c>
      <c r="D18" s="154">
        <v>2056544000</v>
      </c>
      <c r="E18" s="41">
        <v>52244400</v>
      </c>
      <c r="F18" s="42">
        <v>2.6100000000000002E-2</v>
      </c>
      <c r="I18" s="90" t="s">
        <v>75</v>
      </c>
      <c r="J18" s="153"/>
      <c r="K18" s="228"/>
      <c r="L18" s="322"/>
      <c r="M18" s="181"/>
    </row>
    <row r="19" spans="2:13">
      <c r="B19" s="90" t="s">
        <v>76</v>
      </c>
      <c r="C19" s="153">
        <v>17131</v>
      </c>
      <c r="D19" s="154">
        <v>3369520991</v>
      </c>
      <c r="E19" s="159">
        <v>-478762055</v>
      </c>
      <c r="F19" s="161">
        <v>-0.1244</v>
      </c>
      <c r="I19" s="90" t="s">
        <v>76</v>
      </c>
      <c r="J19" s="153"/>
      <c r="K19" s="228"/>
      <c r="L19" s="322"/>
      <c r="M19" s="239"/>
    </row>
    <row r="20" spans="2:13" ht="15.75" thickBot="1">
      <c r="B20" s="155" t="s">
        <v>6</v>
      </c>
      <c r="C20" s="156">
        <f>C18+C19</f>
        <v>108941</v>
      </c>
      <c r="D20" s="157">
        <f>D18+D19</f>
        <v>5426064991</v>
      </c>
      <c r="E20" s="162">
        <f>E18+E19</f>
        <v>-426517655</v>
      </c>
      <c r="F20" s="44"/>
      <c r="I20" s="155" t="s">
        <v>6</v>
      </c>
      <c r="J20" s="156"/>
      <c r="K20" s="157"/>
      <c r="L20" s="323"/>
      <c r="M20" s="231"/>
    </row>
    <row r="21" spans="2:13" ht="15.75" thickBot="1"/>
    <row r="22" spans="2:13">
      <c r="B22" s="152">
        <v>45413</v>
      </c>
      <c r="C22" s="88" t="s">
        <v>71</v>
      </c>
      <c r="D22" s="88" t="s">
        <v>72</v>
      </c>
      <c r="E22" s="88" t="s">
        <v>73</v>
      </c>
      <c r="F22" s="89" t="s">
        <v>74</v>
      </c>
      <c r="I22" s="152">
        <v>45778</v>
      </c>
      <c r="J22" s="88" t="s">
        <v>71</v>
      </c>
      <c r="K22" s="88" t="s">
        <v>72</v>
      </c>
      <c r="L22" s="88" t="s">
        <v>73</v>
      </c>
      <c r="M22" s="89" t="s">
        <v>74</v>
      </c>
    </row>
    <row r="23" spans="2:13">
      <c r="B23" s="90" t="s">
        <v>75</v>
      </c>
      <c r="C23" s="153">
        <v>101432</v>
      </c>
      <c r="D23" s="154">
        <v>2272076800</v>
      </c>
      <c r="E23" s="41">
        <v>215532800</v>
      </c>
      <c r="F23" s="42">
        <v>0.1048</v>
      </c>
      <c r="I23" s="90" t="s">
        <v>75</v>
      </c>
      <c r="J23" s="153"/>
      <c r="K23" s="34"/>
      <c r="L23" s="324"/>
      <c r="M23" s="292"/>
    </row>
    <row r="24" spans="2:13">
      <c r="B24" s="90" t="s">
        <v>76</v>
      </c>
      <c r="C24" s="153">
        <v>18951</v>
      </c>
      <c r="D24" s="154">
        <v>3774153954</v>
      </c>
      <c r="E24" s="41">
        <v>404632963</v>
      </c>
      <c r="F24" s="43">
        <v>0.1201</v>
      </c>
      <c r="I24" s="90" t="s">
        <v>76</v>
      </c>
      <c r="J24" s="153"/>
      <c r="K24" s="34"/>
      <c r="L24" s="325"/>
      <c r="M24" s="291"/>
    </row>
    <row r="25" spans="2:13" ht="15.75" thickBot="1">
      <c r="B25" s="155" t="s">
        <v>6</v>
      </c>
      <c r="C25" s="156">
        <f>C23+C24</f>
        <v>120383</v>
      </c>
      <c r="D25" s="157">
        <f>D23+D24</f>
        <v>6046230754</v>
      </c>
      <c r="E25" s="158">
        <f>E23+E24</f>
        <v>620165763</v>
      </c>
      <c r="F25" s="44"/>
      <c r="I25" s="155" t="s">
        <v>6</v>
      </c>
      <c r="J25" s="156"/>
      <c r="K25" s="157"/>
      <c r="L25" s="323"/>
      <c r="M25" s="231"/>
    </row>
    <row r="26" spans="2:13" ht="15.75" thickBot="1"/>
    <row r="27" spans="2:13">
      <c r="B27" s="152">
        <v>45444</v>
      </c>
      <c r="C27" s="88" t="s">
        <v>71</v>
      </c>
      <c r="D27" s="88" t="s">
        <v>72</v>
      </c>
      <c r="E27" s="88" t="s">
        <v>73</v>
      </c>
      <c r="F27" s="89" t="s">
        <v>74</v>
      </c>
      <c r="I27" s="152">
        <v>45809</v>
      </c>
      <c r="J27" s="88" t="s">
        <v>71</v>
      </c>
      <c r="K27" s="88" t="s">
        <v>72</v>
      </c>
      <c r="L27" s="88" t="s">
        <v>73</v>
      </c>
      <c r="M27" s="89" t="s">
        <v>74</v>
      </c>
    </row>
    <row r="28" spans="2:13">
      <c r="B28" s="90" t="s">
        <v>75</v>
      </c>
      <c r="C28" s="153">
        <v>102495</v>
      </c>
      <c r="D28" s="154">
        <v>2295102656</v>
      </c>
      <c r="E28" s="41">
        <v>23025856</v>
      </c>
      <c r="F28" s="42">
        <v>1.01E-2</v>
      </c>
      <c r="I28" s="90" t="s">
        <v>75</v>
      </c>
      <c r="J28" s="153"/>
      <c r="K28" s="34"/>
      <c r="L28" s="293"/>
      <c r="M28" s="291"/>
    </row>
    <row r="29" spans="2:13">
      <c r="B29" s="90" t="s">
        <v>76</v>
      </c>
      <c r="C29" s="153">
        <v>21203</v>
      </c>
      <c r="D29" s="154">
        <v>4331742569</v>
      </c>
      <c r="E29" s="41">
        <v>557588615</v>
      </c>
      <c r="F29" s="43">
        <v>0.1477</v>
      </c>
      <c r="I29" s="90" t="s">
        <v>76</v>
      </c>
      <c r="J29" s="153"/>
      <c r="K29" s="34"/>
      <c r="L29" s="293"/>
      <c r="M29" s="291"/>
    </row>
    <row r="30" spans="2:13" ht="15.75" thickBot="1">
      <c r="B30" s="155" t="s">
        <v>6</v>
      </c>
      <c r="C30" s="156">
        <f>C28+C29</f>
        <v>123698</v>
      </c>
      <c r="D30" s="157">
        <f>D28+D29</f>
        <v>6626845225</v>
      </c>
      <c r="E30" s="158">
        <f>E28+E29</f>
        <v>580614471</v>
      </c>
      <c r="F30" s="44"/>
      <c r="I30" s="155" t="s">
        <v>6</v>
      </c>
      <c r="J30" s="156"/>
      <c r="K30" s="157"/>
      <c r="L30" s="261"/>
      <c r="M30" s="231"/>
    </row>
    <row r="31" spans="2:13" ht="15.75" thickBot="1"/>
    <row r="32" spans="2:13">
      <c r="B32" s="152">
        <v>45474</v>
      </c>
      <c r="C32" s="88" t="s">
        <v>71</v>
      </c>
      <c r="D32" s="88" t="s">
        <v>72</v>
      </c>
      <c r="E32" s="88" t="s">
        <v>73</v>
      </c>
      <c r="F32" s="89" t="s">
        <v>74</v>
      </c>
      <c r="I32" s="152">
        <v>45839</v>
      </c>
      <c r="J32" s="88" t="s">
        <v>71</v>
      </c>
      <c r="K32" s="88" t="s">
        <v>72</v>
      </c>
      <c r="L32" s="88" t="s">
        <v>73</v>
      </c>
      <c r="M32" s="89" t="s">
        <v>74</v>
      </c>
    </row>
    <row r="33" spans="2:13">
      <c r="B33" s="90" t="s">
        <v>75</v>
      </c>
      <c r="C33" s="153">
        <v>104200</v>
      </c>
      <c r="D33" s="154">
        <v>2331298368</v>
      </c>
      <c r="E33" s="41">
        <v>36195712</v>
      </c>
      <c r="F33" s="42">
        <v>1.5800000000000002E-2</v>
      </c>
      <c r="I33" s="90" t="s">
        <v>75</v>
      </c>
      <c r="J33" s="153"/>
      <c r="K33" s="34"/>
      <c r="L33" s="293"/>
      <c r="M33" s="295"/>
    </row>
    <row r="34" spans="2:13">
      <c r="B34" s="90" t="s">
        <v>76</v>
      </c>
      <c r="C34" s="153">
        <v>21906</v>
      </c>
      <c r="D34" s="154">
        <v>4528233319</v>
      </c>
      <c r="E34" s="41">
        <v>196490750</v>
      </c>
      <c r="F34" s="43">
        <v>4.5400000000000003E-2</v>
      </c>
      <c r="I34" s="90" t="s">
        <v>76</v>
      </c>
      <c r="J34" s="153"/>
      <c r="K34" s="34"/>
      <c r="L34" s="293"/>
      <c r="M34" s="296"/>
    </row>
    <row r="35" spans="2:13" ht="15.75" thickBot="1">
      <c r="B35" s="155" t="s">
        <v>6</v>
      </c>
      <c r="C35" s="156">
        <f>C33+C34</f>
        <v>126106</v>
      </c>
      <c r="D35" s="157">
        <f>D33+D34</f>
        <v>6859531687</v>
      </c>
      <c r="E35" s="158">
        <f>E33+E34</f>
        <v>232686462</v>
      </c>
      <c r="F35" s="44"/>
      <c r="I35" s="155" t="s">
        <v>6</v>
      </c>
      <c r="J35" s="156"/>
      <c r="K35" s="157"/>
      <c r="L35" s="261"/>
      <c r="M35" s="231"/>
    </row>
    <row r="36" spans="2:13" ht="15.75" thickBot="1">
      <c r="K36" s="34"/>
      <c r="L36" s="290"/>
    </row>
    <row r="37" spans="2:13">
      <c r="B37" s="152">
        <v>45505</v>
      </c>
      <c r="C37" s="88" t="s">
        <v>71</v>
      </c>
      <c r="D37" s="88" t="s">
        <v>72</v>
      </c>
      <c r="E37" s="88" t="s">
        <v>73</v>
      </c>
      <c r="F37" s="89" t="s">
        <v>74</v>
      </c>
      <c r="I37" s="152">
        <v>45870</v>
      </c>
      <c r="J37" s="88" t="s">
        <v>71</v>
      </c>
      <c r="K37" s="88" t="s">
        <v>72</v>
      </c>
      <c r="L37" s="88" t="s">
        <v>73</v>
      </c>
      <c r="M37" s="89" t="s">
        <v>74</v>
      </c>
    </row>
    <row r="38" spans="2:13">
      <c r="B38" s="90" t="s">
        <v>75</v>
      </c>
      <c r="C38" s="153">
        <v>110873</v>
      </c>
      <c r="D38" s="154">
        <v>2480861376</v>
      </c>
      <c r="E38" s="41">
        <v>149563008</v>
      </c>
      <c r="F38" s="42">
        <v>6.4199999999999993E-2</v>
      </c>
      <c r="I38" s="90" t="s">
        <v>75</v>
      </c>
      <c r="J38" s="153"/>
      <c r="K38" s="34"/>
      <c r="L38" s="293"/>
      <c r="M38" s="295"/>
    </row>
    <row r="39" spans="2:13">
      <c r="B39" s="90" t="s">
        <v>76</v>
      </c>
      <c r="C39" s="153">
        <v>24256</v>
      </c>
      <c r="D39" s="154">
        <v>4982385528</v>
      </c>
      <c r="E39" s="41">
        <v>454152209</v>
      </c>
      <c r="F39" s="43">
        <v>0.1003</v>
      </c>
      <c r="I39" s="90" t="s">
        <v>76</v>
      </c>
      <c r="J39" s="153"/>
      <c r="K39" s="34"/>
      <c r="L39" s="293"/>
      <c r="M39" s="296"/>
    </row>
    <row r="40" spans="2:13" ht="15.75" thickBot="1">
      <c r="B40" s="155" t="s">
        <v>6</v>
      </c>
      <c r="C40" s="156">
        <f>C38+C39</f>
        <v>135129</v>
      </c>
      <c r="D40" s="157">
        <f>D38+D39</f>
        <v>7463246904</v>
      </c>
      <c r="E40" s="158">
        <f>E38+E39</f>
        <v>603715217</v>
      </c>
      <c r="F40" s="44"/>
      <c r="I40" s="155" t="s">
        <v>6</v>
      </c>
      <c r="J40" s="156"/>
      <c r="K40" s="157"/>
      <c r="L40" s="261"/>
      <c r="M40" s="231"/>
    </row>
    <row r="41" spans="2:13" ht="15.75" thickBot="1"/>
    <row r="42" spans="2:13">
      <c r="B42" s="152">
        <v>45536</v>
      </c>
      <c r="C42" s="88" t="s">
        <v>71</v>
      </c>
      <c r="D42" s="88" t="s">
        <v>72</v>
      </c>
      <c r="E42" s="88" t="s">
        <v>73</v>
      </c>
      <c r="F42" s="89" t="s">
        <v>74</v>
      </c>
      <c r="I42" s="152">
        <v>45901</v>
      </c>
      <c r="J42" s="88" t="s">
        <v>71</v>
      </c>
      <c r="K42" s="88" t="s">
        <v>72</v>
      </c>
      <c r="L42" s="88" t="s">
        <v>73</v>
      </c>
      <c r="M42" s="89" t="s">
        <v>74</v>
      </c>
    </row>
    <row r="43" spans="2:13">
      <c r="B43" s="90" t="s">
        <v>75</v>
      </c>
      <c r="C43" s="153">
        <v>98294</v>
      </c>
      <c r="D43" s="154">
        <v>2199291136</v>
      </c>
      <c r="E43" s="159">
        <v>-281570240</v>
      </c>
      <c r="F43" s="160">
        <v>-0.11349696630530315</v>
      </c>
      <c r="I43" s="90" t="s">
        <v>75</v>
      </c>
      <c r="J43" s="33"/>
      <c r="K43" s="328"/>
      <c r="L43" s="36"/>
      <c r="M43" s="329"/>
    </row>
    <row r="44" spans="2:13">
      <c r="B44" s="90" t="s">
        <v>76</v>
      </c>
      <c r="C44" s="153">
        <v>20462</v>
      </c>
      <c r="D44" s="154">
        <v>4286474336</v>
      </c>
      <c r="E44" s="159">
        <v>-695911192</v>
      </c>
      <c r="F44" s="161">
        <v>-0.13967429619589244</v>
      </c>
      <c r="I44" s="90" t="s">
        <v>76</v>
      </c>
      <c r="J44" s="33"/>
      <c r="K44" s="326"/>
      <c r="L44" s="330"/>
      <c r="M44" s="296"/>
    </row>
    <row r="45" spans="2:13" ht="15.75" thickBot="1">
      <c r="B45" s="155" t="s">
        <v>6</v>
      </c>
      <c r="C45" s="156">
        <f>C43+C44</f>
        <v>118756</v>
      </c>
      <c r="D45" s="157">
        <f>D43+D44</f>
        <v>6485765472</v>
      </c>
      <c r="E45" s="162">
        <f>E43+E44</f>
        <v>-977481432</v>
      </c>
      <c r="F45" s="44"/>
      <c r="I45" s="155" t="s">
        <v>6</v>
      </c>
      <c r="J45" s="156"/>
      <c r="K45" s="157"/>
      <c r="L45" s="261"/>
      <c r="M45" s="231"/>
    </row>
    <row r="46" spans="2:13" ht="15.75" thickBot="1"/>
    <row r="47" spans="2:13">
      <c r="B47" s="152">
        <v>45566</v>
      </c>
      <c r="C47" s="88" t="s">
        <v>71</v>
      </c>
      <c r="D47" s="88" t="s">
        <v>72</v>
      </c>
      <c r="E47" s="88" t="s">
        <v>73</v>
      </c>
      <c r="F47" s="89" t="s">
        <v>74</v>
      </c>
      <c r="I47" s="152">
        <v>45931</v>
      </c>
      <c r="J47" s="88" t="s">
        <v>71</v>
      </c>
      <c r="K47" s="88" t="s">
        <v>72</v>
      </c>
      <c r="L47" s="88" t="s">
        <v>73</v>
      </c>
      <c r="M47" s="89" t="s">
        <v>74</v>
      </c>
    </row>
    <row r="48" spans="2:13">
      <c r="B48" s="90" t="s">
        <v>75</v>
      </c>
      <c r="C48" s="153">
        <v>99780</v>
      </c>
      <c r="D48" s="154">
        <v>2232415360</v>
      </c>
      <c r="E48" s="180">
        <v>33124224</v>
      </c>
      <c r="F48" s="181">
        <v>1.5061318375631405E-2</v>
      </c>
      <c r="I48" s="90" t="s">
        <v>75</v>
      </c>
      <c r="J48" s="33"/>
      <c r="K48" s="328"/>
      <c r="L48" s="293"/>
      <c r="M48" s="295"/>
    </row>
    <row r="49" spans="2:13">
      <c r="B49" s="90" t="s">
        <v>76</v>
      </c>
      <c r="C49" s="153">
        <v>19020</v>
      </c>
      <c r="D49" s="154">
        <v>4060762015</v>
      </c>
      <c r="E49" s="159">
        <v>-225712321</v>
      </c>
      <c r="F49" s="161">
        <v>-5.2656869797248707E-2</v>
      </c>
      <c r="I49" s="90" t="s">
        <v>76</v>
      </c>
      <c r="J49" s="33"/>
      <c r="K49" s="326"/>
      <c r="L49" s="293"/>
      <c r="M49" s="296"/>
    </row>
    <row r="50" spans="2:13" ht="15.75" thickBot="1">
      <c r="B50" s="155" t="s">
        <v>6</v>
      </c>
      <c r="C50" s="156">
        <v>118800</v>
      </c>
      <c r="D50" s="157">
        <v>6293177375</v>
      </c>
      <c r="E50" s="162">
        <v>-192588097</v>
      </c>
      <c r="F50" s="44"/>
      <c r="I50" s="155" t="s">
        <v>6</v>
      </c>
      <c r="J50" s="156"/>
      <c r="K50" s="157"/>
      <c r="L50" s="261"/>
      <c r="M50" s="231"/>
    </row>
    <row r="51" spans="2:13" ht="15.75" thickBot="1"/>
    <row r="52" spans="2:13" ht="15.75" thickBot="1">
      <c r="I52" s="152">
        <v>45962</v>
      </c>
      <c r="J52" s="88" t="s">
        <v>71</v>
      </c>
      <c r="K52" s="88" t="s">
        <v>72</v>
      </c>
      <c r="L52" s="88" t="s">
        <v>73</v>
      </c>
      <c r="M52" s="89" t="s">
        <v>74</v>
      </c>
    </row>
    <row r="53" spans="2:13">
      <c r="B53" s="152">
        <v>45597</v>
      </c>
      <c r="C53" s="88" t="s">
        <v>71</v>
      </c>
      <c r="D53" s="88" t="s">
        <v>72</v>
      </c>
      <c r="E53" s="88" t="s">
        <v>73</v>
      </c>
      <c r="F53" s="89" t="s">
        <v>74</v>
      </c>
      <c r="I53" s="90" t="s">
        <v>75</v>
      </c>
      <c r="J53" s="33"/>
      <c r="K53" s="328"/>
      <c r="L53" s="293"/>
      <c r="M53" s="295"/>
    </row>
    <row r="54" spans="2:13">
      <c r="B54" s="90" t="s">
        <v>75</v>
      </c>
      <c r="C54" s="153">
        <v>97443</v>
      </c>
      <c r="D54" s="154">
        <v>2180390464</v>
      </c>
      <c r="E54" s="180">
        <v>-52024896</v>
      </c>
      <c r="F54" s="181">
        <v>-2.3300000000000001E-2</v>
      </c>
      <c r="I54" s="90" t="s">
        <v>76</v>
      </c>
      <c r="J54" s="33"/>
      <c r="K54" s="326"/>
      <c r="L54" s="293"/>
      <c r="M54" s="296"/>
    </row>
    <row r="55" spans="2:13" ht="15.75" thickBot="1">
      <c r="B55" s="90" t="s">
        <v>76</v>
      </c>
      <c r="C55" s="153">
        <v>17280</v>
      </c>
      <c r="D55" s="154">
        <v>3871009587</v>
      </c>
      <c r="E55" s="159">
        <v>-189752428</v>
      </c>
      <c r="F55" s="161">
        <v>-4.6699999999999998E-2</v>
      </c>
      <c r="I55" s="155" t="s">
        <v>6</v>
      </c>
      <c r="J55" s="156"/>
      <c r="K55" s="157"/>
      <c r="L55" s="261"/>
      <c r="M55" s="231"/>
    </row>
    <row r="56" spans="2:13" ht="15.75" thickBot="1">
      <c r="B56" s="155" t="s">
        <v>6</v>
      </c>
      <c r="C56" s="156">
        <v>114726</v>
      </c>
      <c r="D56" s="157">
        <v>6051400051</v>
      </c>
      <c r="E56" s="162">
        <v>-241777324</v>
      </c>
      <c r="F56" s="44"/>
      <c r="I56" s="45"/>
      <c r="J56" s="212"/>
      <c r="K56" s="213"/>
      <c r="L56" s="214"/>
      <c r="M56" s="215"/>
    </row>
    <row r="57" spans="2:13">
      <c r="I57" s="152">
        <v>45992</v>
      </c>
      <c r="J57" s="88" t="s">
        <v>71</v>
      </c>
      <c r="K57" s="88" t="s">
        <v>72</v>
      </c>
      <c r="L57" s="88" t="s">
        <v>73</v>
      </c>
      <c r="M57" s="89" t="s">
        <v>74</v>
      </c>
    </row>
    <row r="58" spans="2:13" ht="15.75" thickBot="1">
      <c r="I58" s="90" t="s">
        <v>75</v>
      </c>
      <c r="J58" s="33"/>
      <c r="K58" s="328"/>
      <c r="L58" s="293"/>
      <c r="M58" s="295"/>
    </row>
    <row r="59" spans="2:13">
      <c r="B59" s="152">
        <v>45627</v>
      </c>
      <c r="C59" s="88" t="s">
        <v>71</v>
      </c>
      <c r="D59" s="88" t="s">
        <v>72</v>
      </c>
      <c r="E59" s="88" t="s">
        <v>73</v>
      </c>
      <c r="F59" s="89" t="s">
        <v>74</v>
      </c>
      <c r="I59" s="90" t="s">
        <v>76</v>
      </c>
      <c r="J59" s="33"/>
      <c r="K59" s="326"/>
      <c r="L59" s="293"/>
      <c r="M59" s="296"/>
    </row>
    <row r="60" spans="2:13" ht="15.75" thickBot="1">
      <c r="B60" s="90" t="s">
        <v>75</v>
      </c>
      <c r="C60" s="153">
        <v>83328</v>
      </c>
      <c r="D60" s="154">
        <v>1865130624</v>
      </c>
      <c r="E60" s="159">
        <v>-315284032</v>
      </c>
      <c r="F60" s="161">
        <v>-0.14460000000000001</v>
      </c>
      <c r="I60" s="155" t="s">
        <v>6</v>
      </c>
      <c r="J60" s="156"/>
      <c r="K60" s="157"/>
      <c r="L60" s="261"/>
      <c r="M60" s="231"/>
    </row>
    <row r="61" spans="2:13">
      <c r="B61" s="90" t="s">
        <v>76</v>
      </c>
      <c r="C61" s="153">
        <v>16545</v>
      </c>
      <c r="D61" s="154">
        <v>3695564774</v>
      </c>
      <c r="E61" s="159">
        <v>-175444813</v>
      </c>
      <c r="F61" s="161">
        <v>-4.53E-2</v>
      </c>
      <c r="I61" s="209"/>
      <c r="J61" s="216"/>
      <c r="K61" s="210"/>
      <c r="L61" s="210"/>
      <c r="M61" s="211"/>
    </row>
    <row r="62" spans="2:13" ht="15.75" thickBot="1">
      <c r="B62" s="155" t="s">
        <v>6</v>
      </c>
      <c r="C62" s="156">
        <f>SUM(C60:C61)</f>
        <v>99873</v>
      </c>
      <c r="D62" s="192">
        <f t="shared" ref="D62:E62" si="0">SUM(D60:D61)</f>
        <v>5560695398</v>
      </c>
      <c r="E62" s="159">
        <f t="shared" si="0"/>
        <v>-490728845</v>
      </c>
      <c r="F62" s="44"/>
      <c r="I62" s="45"/>
      <c r="J62" s="212"/>
      <c r="K62" s="213"/>
      <c r="L62" s="214"/>
      <c r="M62" s="2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  <vt:lpstr>'ATRASOS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Carlos Sandoval</cp:lastModifiedBy>
  <dcterms:created xsi:type="dcterms:W3CDTF">2022-06-08T21:52:11Z</dcterms:created>
  <dcterms:modified xsi:type="dcterms:W3CDTF">2026-02-09T12:47:43Z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2025-12-10T15:51:45Z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b375be82-bb09-4a09-bdac-e787dd6cc6a0</vt:lpwstr>
  </property>
  <property fmtid="{D5CDD505-2E9C-101B-9397-08002B2CF9AE}" pid="7" name="MSIP_Label_defa4170-0d19-0005-0004-bc88714345d2_ActionId">
    <vt:lpwstr>657dc658-be6c-433d-be68-aea104dfd0fc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