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3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4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arlos.sandoval\Desktop\"/>
    </mc:Choice>
  </mc:AlternateContent>
  <xr:revisionPtr revIDLastSave="0" documentId="8_{AB40FA54-C319-4190-8F6F-2EB04607754A}" xr6:coauthVersionLast="47" xr6:coauthVersionMax="47" xr10:uidLastSave="{00000000-0000-0000-0000-000000000000}"/>
  <bookViews>
    <workbookView xWindow="-120" yWindow="-120" windowWidth="29040" windowHeight="15720" tabRatio="800" xr2:uid="{00000000-000D-0000-FFFF-FFFF00000000}"/>
  </bookViews>
  <sheets>
    <sheet name="ESTADISTICAS AEROLINEAS " sheetId="11" r:id="rId1"/>
    <sheet name="DESTINO Y PROCE " sheetId="19" r:id="rId2"/>
    <sheet name="ATRASOS " sheetId="17" r:id="rId3"/>
    <sheet name="CARGA " sheetId="18" r:id="rId4"/>
    <sheet name="TASAS AEROPORTUARIAS" sheetId="20" r:id="rId5"/>
    <sheet name="TASAS MENSUALES " sheetId="21" r:id="rId6"/>
  </sheets>
  <definedNames>
    <definedName name="_Hlk74400455" localSheetId="2">'ATRASOS '!$C$88</definedName>
    <definedName name="_xlnm.Print_Area" localSheetId="2">'ATRASOS '!$A$1:$AH$178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5" i="17" l="1"/>
  <c r="C10" i="11"/>
  <c r="C91" i="19"/>
  <c r="C92" i="19"/>
  <c r="E82" i="19"/>
  <c r="G59" i="18"/>
  <c r="G53" i="18"/>
  <c r="F53" i="18"/>
  <c r="C13" i="18"/>
  <c r="C12" i="18"/>
  <c r="K15" i="20"/>
  <c r="L22" i="20"/>
  <c r="L20" i="20"/>
  <c r="L21" i="20"/>
  <c r="M20" i="20"/>
  <c r="F22" i="20"/>
  <c r="F21" i="20"/>
  <c r="F20" i="20"/>
  <c r="E22" i="20"/>
  <c r="E21" i="20"/>
  <c r="E20" i="20"/>
  <c r="L4" i="20"/>
  <c r="L5" i="20"/>
  <c r="L6" i="20"/>
  <c r="E6" i="20"/>
  <c r="E5" i="20"/>
  <c r="E4" i="20"/>
  <c r="F4" i="20"/>
  <c r="M5" i="20"/>
  <c r="M4" i="20"/>
  <c r="M22" i="20"/>
  <c r="M6" i="20"/>
  <c r="F20" i="21"/>
  <c r="H20" i="21"/>
  <c r="D114" i="17"/>
  <c r="C20" i="21"/>
  <c r="F6" i="20"/>
  <c r="C98" i="19"/>
  <c r="F34" i="19"/>
  <c r="D47" i="11"/>
  <c r="C17" i="11"/>
  <c r="C12" i="11"/>
  <c r="C86" i="19"/>
  <c r="C97" i="19"/>
  <c r="C32" i="11"/>
  <c r="C53" i="18"/>
  <c r="E109" i="17"/>
  <c r="H15" i="21"/>
  <c r="D59" i="18"/>
  <c r="E59" i="18"/>
  <c r="F59" i="18"/>
  <c r="C59" i="18"/>
  <c r="D109" i="17"/>
  <c r="D108" i="17"/>
  <c r="I62" i="17"/>
  <c r="J66" i="17"/>
  <c r="J65" i="17"/>
  <c r="J64" i="17"/>
  <c r="J63" i="17"/>
  <c r="J79" i="17"/>
  <c r="J77" i="17"/>
  <c r="M21" i="20"/>
  <c r="F15" i="21"/>
  <c r="C15" i="21"/>
  <c r="H14" i="21"/>
  <c r="H13" i="21"/>
  <c r="H10" i="21"/>
  <c r="F10" i="21"/>
  <c r="C10" i="21"/>
  <c r="H9" i="21"/>
  <c r="H8" i="21"/>
  <c r="F5" i="21"/>
  <c r="H5" i="21" s="1"/>
  <c r="C5" i="21"/>
  <c r="H4" i="21"/>
  <c r="H3" i="21"/>
  <c r="K31" i="20"/>
  <c r="D31" i="20"/>
  <c r="D15" i="20"/>
  <c r="F5" i="20"/>
  <c r="C53" i="11"/>
  <c r="P37" i="17"/>
  <c r="P38" i="17"/>
  <c r="P39" i="17"/>
  <c r="P40" i="17"/>
  <c r="P41" i="17"/>
  <c r="P42" i="17"/>
  <c r="P43" i="17"/>
  <c r="P44" i="17"/>
  <c r="P45" i="17"/>
  <c r="P46" i="17"/>
  <c r="E103" i="17"/>
  <c r="D103" i="17"/>
  <c r="H60" i="21"/>
  <c r="H59" i="21"/>
  <c r="H58" i="21"/>
  <c r="H50" i="21"/>
  <c r="H49" i="21"/>
  <c r="H48" i="21"/>
  <c r="H55" i="21"/>
  <c r="H54" i="21"/>
  <c r="H53" i="21"/>
  <c r="H45" i="21"/>
  <c r="H44" i="21"/>
  <c r="H43" i="21"/>
  <c r="H40" i="21"/>
  <c r="H39" i="21"/>
  <c r="H38" i="21"/>
  <c r="H35" i="21"/>
  <c r="H34" i="21"/>
  <c r="H33" i="21"/>
  <c r="H30" i="21"/>
  <c r="H29" i="21"/>
  <c r="H28" i="21"/>
  <c r="H25" i="21"/>
  <c r="H24" i="21"/>
  <c r="H23" i="21"/>
  <c r="H19" i="21"/>
  <c r="H18" i="21"/>
  <c r="D76" i="17"/>
  <c r="D86" i="17" s="1"/>
  <c r="E76" i="17"/>
  <c r="E86" i="17" s="1"/>
  <c r="F76" i="17"/>
  <c r="F86" i="17" s="1"/>
  <c r="G76" i="17"/>
  <c r="H76" i="17"/>
  <c r="H86" i="17" s="1"/>
  <c r="I76" i="17"/>
  <c r="I86" i="17" s="1"/>
  <c r="C76" i="17"/>
  <c r="E97" i="17"/>
  <c r="F62" i="17"/>
  <c r="F71" i="17" s="1"/>
  <c r="G62" i="17"/>
  <c r="G71" i="17" s="1"/>
  <c r="H62" i="17"/>
  <c r="E62" i="17"/>
  <c r="C62" i="17"/>
  <c r="D62" i="17"/>
  <c r="D71" i="17" s="1"/>
  <c r="P36" i="17"/>
  <c r="P35" i="17"/>
  <c r="O47" i="17"/>
  <c r="N47" i="17"/>
  <c r="M47" i="17"/>
  <c r="J80" i="17"/>
  <c r="J78" i="17"/>
  <c r="J51" i="17"/>
  <c r="F37" i="17"/>
  <c r="F47" i="17" s="1"/>
  <c r="F38" i="17"/>
  <c r="F39" i="17"/>
  <c r="F40" i="17"/>
  <c r="F41" i="17"/>
  <c r="F42" i="17"/>
  <c r="F43" i="17"/>
  <c r="F44" i="17"/>
  <c r="F45" i="17"/>
  <c r="F46" i="17"/>
  <c r="F36" i="17"/>
  <c r="F35" i="17"/>
  <c r="F51" i="17"/>
  <c r="E47" i="17"/>
  <c r="D47" i="17"/>
  <c r="C47" i="17"/>
  <c r="H92" i="17"/>
  <c r="E91" i="17"/>
  <c r="H91" i="17" s="1"/>
  <c r="J164" i="17"/>
  <c r="F175" i="17"/>
  <c r="F174" i="17"/>
  <c r="F173" i="17"/>
  <c r="F172" i="17"/>
  <c r="F171" i="17"/>
  <c r="F166" i="17"/>
  <c r="F165" i="17"/>
  <c r="K165" i="17" s="1"/>
  <c r="F164" i="17"/>
  <c r="F176" i="17" s="1"/>
  <c r="I176" i="17"/>
  <c r="H176" i="17"/>
  <c r="G176" i="17"/>
  <c r="E176" i="17"/>
  <c r="D176" i="17"/>
  <c r="C176" i="17"/>
  <c r="K175" i="17"/>
  <c r="K174" i="17"/>
  <c r="K173" i="17"/>
  <c r="K172" i="17"/>
  <c r="K171" i="17"/>
  <c r="K170" i="17"/>
  <c r="K169" i="17"/>
  <c r="K168" i="17"/>
  <c r="K167" i="17"/>
  <c r="K166" i="17"/>
  <c r="H157" i="17"/>
  <c r="O49" i="18"/>
  <c r="O48" i="18"/>
  <c r="M51" i="18"/>
  <c r="C28" i="18"/>
  <c r="C35" i="18"/>
  <c r="C96" i="19"/>
  <c r="C48" i="19"/>
  <c r="C117" i="19"/>
  <c r="C31" i="11"/>
  <c r="J46" i="17"/>
  <c r="M16" i="17"/>
  <c r="C90" i="19"/>
  <c r="C89" i="19"/>
  <c r="C88" i="19"/>
  <c r="C87" i="19"/>
  <c r="C42" i="19"/>
  <c r="C41" i="19"/>
  <c r="C40" i="19"/>
  <c r="C39" i="19"/>
  <c r="C38" i="19"/>
  <c r="H151" i="17"/>
  <c r="H158" i="17"/>
  <c r="G158" i="17"/>
  <c r="G157" i="17"/>
  <c r="H152" i="17"/>
  <c r="G152" i="17"/>
  <c r="G151" i="17"/>
  <c r="J45" i="17"/>
  <c r="L51" i="18"/>
  <c r="N51" i="18"/>
  <c r="H145" i="17"/>
  <c r="G145" i="17"/>
  <c r="J44" i="17"/>
  <c r="C33" i="11"/>
  <c r="C23" i="11"/>
  <c r="H146" i="17"/>
  <c r="G146" i="17"/>
  <c r="K51" i="18"/>
  <c r="J51" i="18"/>
  <c r="C42" i="18"/>
  <c r="H140" i="17"/>
  <c r="G140" i="17"/>
  <c r="H139" i="17"/>
  <c r="G139" i="17"/>
  <c r="H134" i="17"/>
  <c r="G134" i="17"/>
  <c r="H133" i="17"/>
  <c r="G133" i="17"/>
  <c r="J43" i="17"/>
  <c r="J42" i="17"/>
  <c r="L16" i="17"/>
  <c r="C133" i="19"/>
  <c r="C132" i="19"/>
  <c r="C131" i="19"/>
  <c r="C130" i="19"/>
  <c r="C129" i="19"/>
  <c r="C128" i="19"/>
  <c r="C127" i="19"/>
  <c r="C123" i="19"/>
  <c r="C122" i="19"/>
  <c r="C121" i="19"/>
  <c r="C120" i="19"/>
  <c r="C119" i="19"/>
  <c r="C118" i="19"/>
  <c r="E112" i="19"/>
  <c r="C47" i="19"/>
  <c r="C64" i="11"/>
  <c r="C63" i="11"/>
  <c r="C65" i="11" s="1"/>
  <c r="C57" i="11"/>
  <c r="C56" i="11"/>
  <c r="C55" i="11"/>
  <c r="C54" i="11"/>
  <c r="C52" i="11"/>
  <c r="C29" i="11"/>
  <c r="C30" i="11"/>
  <c r="C28" i="11"/>
  <c r="C22" i="11"/>
  <c r="C20" i="11"/>
  <c r="C19" i="11"/>
  <c r="C18" i="11"/>
  <c r="I51" i="18"/>
  <c r="C43" i="19" l="1"/>
  <c r="E34" i="19"/>
  <c r="C44" i="19"/>
  <c r="F82" i="19"/>
  <c r="C95" i="19"/>
  <c r="C59" i="11"/>
  <c r="D58" i="11" s="1"/>
  <c r="P47" i="17"/>
  <c r="C14" i="18"/>
  <c r="J62" i="17"/>
  <c r="H67" i="17" s="1"/>
  <c r="G86" i="17"/>
  <c r="C138" i="19"/>
  <c r="C154" i="19" s="1"/>
  <c r="K46" i="17"/>
  <c r="K51" i="17" s="1"/>
  <c r="K45" i="17"/>
  <c r="K44" i="17"/>
  <c r="K43" i="17"/>
  <c r="K42" i="17"/>
  <c r="J76" i="17"/>
  <c r="C81" i="17" s="1"/>
  <c r="C86" i="17"/>
  <c r="K164" i="17"/>
  <c r="J176" i="17"/>
  <c r="K176" i="17" s="1"/>
  <c r="C71" i="17"/>
  <c r="E71" i="17"/>
  <c r="C134" i="19"/>
  <c r="C143" i="19"/>
  <c r="C159" i="19" s="1"/>
  <c r="C142" i="19"/>
  <c r="C158" i="19" s="1"/>
  <c r="C141" i="19"/>
  <c r="C156" i="19" s="1"/>
  <c r="C140" i="19"/>
  <c r="C155" i="19" s="1"/>
  <c r="C148" i="19"/>
  <c r="C139" i="19"/>
  <c r="C124" i="19"/>
  <c r="C35" i="11"/>
  <c r="C24" i="11"/>
  <c r="D86" i="19" l="1"/>
  <c r="D91" i="19"/>
  <c r="D90" i="19"/>
  <c r="D89" i="19"/>
  <c r="D88" i="19"/>
  <c r="D87" i="19"/>
  <c r="D21" i="11"/>
  <c r="D43" i="19"/>
  <c r="C99" i="19"/>
  <c r="D32" i="11"/>
  <c r="D53" i="11"/>
  <c r="D54" i="11"/>
  <c r="D55" i="11"/>
  <c r="D56" i="11"/>
  <c r="D57" i="11"/>
  <c r="D52" i="11"/>
  <c r="D30" i="11"/>
  <c r="D31" i="11"/>
  <c r="D33" i="11"/>
  <c r="D28" i="11"/>
  <c r="D29" i="11"/>
  <c r="D34" i="11"/>
  <c r="D18" i="11"/>
  <c r="D17" i="11"/>
  <c r="D19" i="11"/>
  <c r="D20" i="11"/>
  <c r="D23" i="11"/>
  <c r="D22" i="11"/>
  <c r="E67" i="17"/>
  <c r="C67" i="17"/>
  <c r="D67" i="17"/>
  <c r="I67" i="17"/>
  <c r="G67" i="17"/>
  <c r="F67" i="17"/>
  <c r="C149" i="19"/>
  <c r="C157" i="19"/>
  <c r="C153" i="19"/>
  <c r="C144" i="19"/>
  <c r="K41" i="17"/>
  <c r="H128" i="17"/>
  <c r="H127" i="17"/>
  <c r="G128" i="17"/>
  <c r="G127" i="17"/>
  <c r="D92" i="19" l="1"/>
  <c r="D98" i="19"/>
  <c r="D97" i="19"/>
  <c r="D96" i="19"/>
  <c r="D95" i="19"/>
  <c r="J67" i="17"/>
  <c r="C160" i="19"/>
  <c r="D99" i="19" l="1"/>
  <c r="H51" i="18"/>
  <c r="H122" i="17"/>
  <c r="G122" i="17"/>
  <c r="H121" i="17"/>
  <c r="G121" i="17"/>
  <c r="K40" i="17" l="1"/>
  <c r="G51" i="18"/>
  <c r="G116" i="17"/>
  <c r="G115" i="17"/>
  <c r="D64" i="11" l="1"/>
  <c r="D63" i="11"/>
  <c r="F81" i="17"/>
  <c r="I81" i="17"/>
  <c r="D81" i="17"/>
  <c r="E81" i="17"/>
  <c r="G81" i="17"/>
  <c r="H81" i="17"/>
  <c r="H116" i="17"/>
  <c r="H115" i="17"/>
  <c r="K39" i="17"/>
  <c r="F51" i="18"/>
  <c r="J81" i="17" l="1"/>
  <c r="K38" i="17"/>
  <c r="D112" i="19" l="1"/>
  <c r="D113" i="19" s="1"/>
  <c r="E51" i="18"/>
  <c r="J86" i="17"/>
  <c r="H110" i="17"/>
  <c r="H109" i="17"/>
  <c r="G110" i="17"/>
  <c r="G109" i="17"/>
  <c r="H104" i="17"/>
  <c r="H103" i="17"/>
  <c r="G104" i="17"/>
  <c r="G103" i="17"/>
  <c r="J37" i="17"/>
  <c r="K37" i="17" s="1"/>
  <c r="E108" i="19" l="1"/>
  <c r="D108" i="19"/>
  <c r="C22" i="18"/>
  <c r="D51" i="18"/>
  <c r="H98" i="17"/>
  <c r="H97" i="17"/>
  <c r="G97" i="17"/>
  <c r="G98" i="17"/>
  <c r="E53" i="18" l="1"/>
  <c r="D109" i="19"/>
  <c r="D114" i="19" s="1"/>
  <c r="J36" i="17"/>
  <c r="K36" i="17" s="1"/>
  <c r="J35" i="17" l="1"/>
  <c r="I47" i="17" l="1"/>
  <c r="H47" i="17"/>
  <c r="G47" i="17"/>
  <c r="O50" i="18"/>
  <c r="H71" i="17" l="1"/>
  <c r="C51" i="18" l="1"/>
  <c r="C7" i="18"/>
  <c r="G92" i="17"/>
  <c r="G91" i="17"/>
  <c r="K16" i="17"/>
  <c r="J16" i="17"/>
  <c r="I16" i="17"/>
  <c r="H16" i="17"/>
  <c r="G16" i="17"/>
  <c r="F16" i="17"/>
  <c r="E16" i="17"/>
  <c r="D16" i="17"/>
  <c r="C16" i="17"/>
  <c r="C50" i="19"/>
  <c r="C47" i="11"/>
  <c r="C48" i="11" s="1"/>
  <c r="D10" i="11"/>
  <c r="D12" i="11" s="1"/>
  <c r="C13" i="11" s="1"/>
  <c r="D38" i="19" l="1"/>
  <c r="C52" i="18"/>
  <c r="D53" i="18"/>
  <c r="D47" i="19"/>
  <c r="D49" i="19"/>
  <c r="D48" i="19"/>
  <c r="D42" i="19"/>
  <c r="D41" i="19"/>
  <c r="D40" i="19"/>
  <c r="D39" i="19"/>
  <c r="O51" i="18"/>
  <c r="J47" i="17"/>
  <c r="K47" i="17" s="1"/>
  <c r="K35" i="17"/>
  <c r="E83" i="19"/>
  <c r="D50" i="19" l="1"/>
  <c r="D44" i="19"/>
  <c r="E35" i="19" l="1"/>
</calcChain>
</file>

<file path=xl/sharedStrings.xml><?xml version="1.0" encoding="utf-8"?>
<sst xmlns="http://schemas.openxmlformats.org/spreadsheetml/2006/main" count="825" uniqueCount="233">
  <si>
    <r>
      <t>MOVIMIENTO DE PASAJEROS</t>
    </r>
    <r>
      <rPr>
        <b/>
        <u/>
        <sz val="11"/>
        <rFont val="Arial"/>
        <family val="2"/>
      </rPr>
      <t xml:space="preserve"> SALIDOS </t>
    </r>
    <r>
      <rPr>
        <b/>
        <sz val="11"/>
        <rFont val="Arial"/>
        <family val="2"/>
      </rPr>
      <t>POR AEROLINEA</t>
    </r>
  </si>
  <si>
    <t>AEROLINEA</t>
  </si>
  <si>
    <t>PAX. NACIONALES</t>
  </si>
  <si>
    <t>PAX. INTERNACIONALES</t>
  </si>
  <si>
    <t>AVIANCA</t>
  </si>
  <si>
    <t>LATAM</t>
  </si>
  <si>
    <t>JETSMART</t>
  </si>
  <si>
    <t>CLIC</t>
  </si>
  <si>
    <t>AVIACIÓN GENERAL</t>
  </si>
  <si>
    <t>AVIACIÓN ESTATAL</t>
  </si>
  <si>
    <t>COPA</t>
  </si>
  <si>
    <t>Subtotal Pasajeros + Ext Tripadi + Exentos</t>
  </si>
  <si>
    <t>Subtotal Pasajeros transito</t>
  </si>
  <si>
    <t xml:space="preserve">Total Pax </t>
  </si>
  <si>
    <t>TOTAL GENERAL</t>
  </si>
  <si>
    <t>TOTAL</t>
  </si>
  <si>
    <t>AVIACION ESTATAL</t>
  </si>
  <si>
    <r>
      <t>MOVIMIENTO DE PASAJEROS</t>
    </r>
    <r>
      <rPr>
        <b/>
        <u/>
        <sz val="11"/>
        <rFont val="Arial"/>
        <family val="2"/>
      </rPr>
      <t xml:space="preserve"> LLEGADOS </t>
    </r>
    <r>
      <rPr>
        <b/>
        <sz val="11"/>
        <rFont val="Arial"/>
        <family val="2"/>
      </rPr>
      <t>POR AEROLINEA</t>
    </r>
  </si>
  <si>
    <t>GENERAL</t>
  </si>
  <si>
    <r>
      <t xml:space="preserve">MOVIMIENTO DE PASAJEROS NACIONALES E INTERNACIONALES  </t>
    </r>
    <r>
      <rPr>
        <b/>
        <u/>
        <sz val="10"/>
        <color theme="0"/>
        <rFont val="Arial"/>
        <family val="2"/>
      </rPr>
      <t>POR PROCEDENCIA</t>
    </r>
  </si>
  <si>
    <t>AEROPUERTOS</t>
  </si>
  <si>
    <t>PROCEDENCIA</t>
  </si>
  <si>
    <t>MPTO</t>
  </si>
  <si>
    <t>Aero Inter de T Ocumen</t>
  </si>
  <si>
    <t>PANAMA</t>
  </si>
  <si>
    <t>MPMG</t>
  </si>
  <si>
    <t xml:space="preserve">Aero Marcos A. Gelabert </t>
  </si>
  <si>
    <t>KJFK</t>
  </si>
  <si>
    <t>Aero Inter John F. Kenmedy</t>
  </si>
  <si>
    <t>NEW YORK</t>
  </si>
  <si>
    <t xml:space="preserve">SEGU </t>
  </si>
  <si>
    <t>Aero José Joaquín de Olmedo</t>
  </si>
  <si>
    <t>GUAYAQUIL</t>
  </si>
  <si>
    <t>SKBO</t>
  </si>
  <si>
    <t>Aero Inter Dorado</t>
  </si>
  <si>
    <t>BOGOTÁ</t>
  </si>
  <si>
    <t>SKRG</t>
  </si>
  <si>
    <t>Aero Inter José María Cordoba</t>
  </si>
  <si>
    <t>RIONEGRO</t>
  </si>
  <si>
    <t>SKCG</t>
  </si>
  <si>
    <t>Aero Inter Rafael Nuñez</t>
  </si>
  <si>
    <t>CARTAGENA</t>
  </si>
  <si>
    <t>SKMD</t>
  </si>
  <si>
    <t>Aero Inter Olaya Herrera</t>
  </si>
  <si>
    <t>MEDELLIN</t>
  </si>
  <si>
    <t>SVMZ</t>
  </si>
  <si>
    <t>Aeropuerto el eden</t>
  </si>
  <si>
    <t>MANIZALES</t>
  </si>
  <si>
    <t>SKUR</t>
  </si>
  <si>
    <t>Aeropuerto Santiago Perez</t>
  </si>
  <si>
    <t>ARAUCA</t>
  </si>
  <si>
    <t>SKSM</t>
  </si>
  <si>
    <t>Aero Inter Simón Bolivar</t>
  </si>
  <si>
    <t>SANTA MARTA</t>
  </si>
  <si>
    <t>SKEJ</t>
  </si>
  <si>
    <t>Aeropuerto yariguíes</t>
  </si>
  <si>
    <t>BARRANCABERMEJA</t>
  </si>
  <si>
    <t>SKGY</t>
  </si>
  <si>
    <t>Aero Guaymaral</t>
  </si>
  <si>
    <t>BOGOTA</t>
  </si>
  <si>
    <t>SKBG</t>
  </si>
  <si>
    <t>Aeropuerto Palonegro</t>
  </si>
  <si>
    <t>BUCARAMANGA</t>
  </si>
  <si>
    <t>SKIB</t>
  </si>
  <si>
    <t>Aeropuerto Perales</t>
  </si>
  <si>
    <t>IBAGUE</t>
  </si>
  <si>
    <t>Aeropuerto Guaymaral</t>
  </si>
  <si>
    <t xml:space="preserve">BOGOTA </t>
  </si>
  <si>
    <t>SKSJ</t>
  </si>
  <si>
    <t>Aeropuerto Jorge Enrique González Torres</t>
  </si>
  <si>
    <t>GUAVIARE</t>
  </si>
  <si>
    <t>SKUI</t>
  </si>
  <si>
    <t>Aeropuerto el Caraño</t>
  </si>
  <si>
    <t>QUIBDO</t>
  </si>
  <si>
    <t>SKYP</t>
  </si>
  <si>
    <t>Aeropuerto el Caraban</t>
  </si>
  <si>
    <t>YOPAL</t>
  </si>
  <si>
    <t>SKNV</t>
  </si>
  <si>
    <t>Aero Benito Salas</t>
  </si>
  <si>
    <t>NEIVA</t>
  </si>
  <si>
    <t>SKAR</t>
  </si>
  <si>
    <t>Aero Inter El Edén</t>
  </si>
  <si>
    <t>ARMENIA</t>
  </si>
  <si>
    <t>SKPS</t>
  </si>
  <si>
    <t>Aeropuerto en Chachagüí</t>
  </si>
  <si>
    <t>NARIÑO</t>
  </si>
  <si>
    <t>SKBS</t>
  </si>
  <si>
    <t>Aeropuerto Jose Celestino Mutis</t>
  </si>
  <si>
    <t>BAHIA SOLANO</t>
  </si>
  <si>
    <t>SKVP</t>
  </si>
  <si>
    <t>Aeropuerto Alfonso Lopez</t>
  </si>
  <si>
    <t>VALLEDUPAR</t>
  </si>
  <si>
    <t>SKPE</t>
  </si>
  <si>
    <t>Aero Inter Matecaña</t>
  </si>
  <si>
    <t>PEREIRA</t>
  </si>
  <si>
    <t>SKBQ</t>
  </si>
  <si>
    <t>Aero Inter Ernesto Cortissoz</t>
  </si>
  <si>
    <t xml:space="preserve">BARRANQUILLA </t>
  </si>
  <si>
    <t>SKVV</t>
  </si>
  <si>
    <t>Aero Vanguardia</t>
  </si>
  <si>
    <t>VILLAVICENCIO</t>
  </si>
  <si>
    <t>SKPP</t>
  </si>
  <si>
    <t xml:space="preserve">Aero Guillermo León Valencia </t>
  </si>
  <si>
    <t>CAUCA</t>
  </si>
  <si>
    <t>SKCL</t>
  </si>
  <si>
    <t>Aero Inter Alfonso Bonilla Aragón</t>
  </si>
  <si>
    <t>PALMIRA</t>
  </si>
  <si>
    <t>SKSP</t>
  </si>
  <si>
    <t>Aero Inter Gustavo Rojas Pinilla</t>
  </si>
  <si>
    <t>SAN ANDRES</t>
  </si>
  <si>
    <t>SKGO</t>
  </si>
  <si>
    <t>Aeropuerto Santa Ana</t>
  </si>
  <si>
    <t>CARTAGO</t>
  </si>
  <si>
    <t xml:space="preserve">PORCENTAJE </t>
  </si>
  <si>
    <t>RIO NEGRO</t>
  </si>
  <si>
    <t>OTROS DESTINOS</t>
  </si>
  <si>
    <r>
      <t xml:space="preserve">MOVIMIENTO DE PASAJEROS NACIONALES E INTERNACIONALES  </t>
    </r>
    <r>
      <rPr>
        <b/>
        <u/>
        <sz val="10"/>
        <color theme="0"/>
        <rFont val="Arial"/>
        <family val="2"/>
      </rPr>
      <t>POR DESTINO</t>
    </r>
  </si>
  <si>
    <t>DESTINO</t>
  </si>
  <si>
    <t>SMMX</t>
  </si>
  <si>
    <t>Aeropuerto Benito Suarez</t>
  </si>
  <si>
    <t>MEXICO</t>
  </si>
  <si>
    <t>KTPA</t>
  </si>
  <si>
    <t>Aeropuerto internacional de tampa</t>
  </si>
  <si>
    <t>TAMPA</t>
  </si>
  <si>
    <t>Aeropuerto Santiago Pérez Quiroz</t>
  </si>
  <si>
    <t>SKMR</t>
  </si>
  <si>
    <t>Aeropuerto los Garzones</t>
  </si>
  <si>
    <t>MONTERIA</t>
  </si>
  <si>
    <t>SKZZ</t>
  </si>
  <si>
    <t>Aero Las Brujas</t>
  </si>
  <si>
    <t>COROZAL</t>
  </si>
  <si>
    <t>MOVIMIENTO DE OPERACIONES POR AEROLINEA</t>
  </si>
  <si>
    <t>CÓDIGO AEROLINEA OACI</t>
  </si>
  <si>
    <t>ARE</t>
  </si>
  <si>
    <t>AVA</t>
  </si>
  <si>
    <t>JEC</t>
  </si>
  <si>
    <t>TOTAL AEROLINEAS COMERCIALES</t>
  </si>
  <si>
    <t xml:space="preserve">AVIACIÓN ESTATAL </t>
  </si>
  <si>
    <t>ESTATAL</t>
  </si>
  <si>
    <t>TOTAL OTRAS AEROLINEAS</t>
  </si>
  <si>
    <t>TOTAL OPERACIONES</t>
  </si>
  <si>
    <t>NACIONALES</t>
  </si>
  <si>
    <t>DESTINO Y PROCEDENCIA</t>
  </si>
  <si>
    <t>INTERNACIONALES</t>
  </si>
  <si>
    <t>NACIONALES E INTERNACIONALES</t>
  </si>
  <si>
    <t>COMPARATIVO OPERACIÓN ANUAL POR DESTINO Y PROCEDENCIA 2016-2026</t>
  </si>
  <si>
    <t>AÑO / 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</si>
  <si>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</si>
  <si>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</si>
  <si>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</si>
  <si>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</si>
  <si>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</si>
  <si>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</si>
  <si>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</si>
  <si>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</si>
  <si>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</si>
  <si>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</si>
  <si>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</si>
  <si>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</si>
  <si>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COMPARATIVO OPERACIONES DESTINO Y PROCEDENCIA 2024 VS 2025</t>
  </si>
  <si>
    <t>MES</t>
  </si>
  <si>
    <t>% DE CREC. 2024 VS 2025</t>
  </si>
  <si>
    <t>MILITAR Y ESTADO</t>
  </si>
  <si>
    <t>REGULAR</t>
  </si>
  <si>
    <t>NO REGULAR</t>
  </si>
  <si>
    <t>ENERO - DICIEMBRE</t>
  </si>
  <si>
    <t>REPORTE VUELOS ATRASOS MAYO 2026</t>
  </si>
  <si>
    <t>AEROLÍNEA</t>
  </si>
  <si>
    <t>SATENA</t>
  </si>
  <si>
    <t>AMERICAN</t>
  </si>
  <si>
    <t>TOTAL VUELOS</t>
  </si>
  <si>
    <t xml:space="preserve">CLASIFICACIÓN (A) DE 00 MINUTOS A 10 MINUTOS </t>
  </si>
  <si>
    <t xml:space="preserve">CLASIFICACIÓN (B) DE 11 MINUTOS A 30 MINUTOS </t>
  </si>
  <si>
    <t>CLASIFICACIÓN ( C ) DE 31 MINUTOS A 1 HORA</t>
  </si>
  <si>
    <t>CLASIFICACIÓN (D) DE MÁS DE 1 HORA</t>
  </si>
  <si>
    <t>PORCENTAJE PARTICIPACIÓN</t>
  </si>
  <si>
    <t>REPORTE VUELOS ATRASADOS</t>
  </si>
  <si>
    <t>REPORTE VUELOS ATRASADOS MAYO 2025</t>
  </si>
  <si>
    <t xml:space="preserve">LATAM </t>
  </si>
  <si>
    <t>WINGO</t>
  </si>
  <si>
    <t>CUMPLE</t>
  </si>
  <si>
    <t>INCUMPLE</t>
  </si>
  <si>
    <t xml:space="preserve">COMPARATIVO OPERACIONES DESTINO Y PROCEDENCIA </t>
  </si>
  <si>
    <t>VOLUMEN DE CARGA MES DE MAYO 2026</t>
  </si>
  <si>
    <t>TOTAL EN KILOS</t>
  </si>
  <si>
    <t>DEPRISA</t>
  </si>
  <si>
    <t>VOLUMEN DE CARGA PRIMER SEMESTRE AÑO 2026  (ENERO - JUNIO)</t>
  </si>
  <si>
    <t xml:space="preserve">TOTAL </t>
  </si>
  <si>
    <t>VOLUMEN DE CARGA SEGUNDO SEMESTRE AÑO 2026  ( JULIO - DICIEMBRE)</t>
  </si>
  <si>
    <t>MOVIMIENTO DE CARGA DOMESTICO COLOMBIA VIGENCIA 2026</t>
  </si>
  <si>
    <t>Kilos Carga CO PEI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</si>
  <si>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</si>
  <si>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</si>
  <si>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</si>
  <si>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</si>
  <si>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</si>
  <si>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</si>
  <si>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</si>
  <si>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</si>
  <si>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</si>
  <si>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</si>
  <si>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</si>
  <si>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</si>
  <si>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</si>
  <si>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TOTAL KILOS</t>
  </si>
  <si>
    <t>Referencia en Kilogramos</t>
  </si>
  <si>
    <t xml:space="preserve"> MOVIMIENTO DE CARGA DOMESTICO COLOMBIA VIGENCIA 2026</t>
  </si>
  <si>
    <t xml:space="preserve">TOTAL KILOS </t>
  </si>
  <si>
    <t xml:space="preserve"> MOVIMIENTO DE CARG VIGENCIA 2026</t>
  </si>
  <si>
    <t xml:space="preserve">Diferencia mes anterior </t>
  </si>
  <si>
    <t xml:space="preserve"> MOVIMIENTO DE CARGA DOMESTICO COLOMBIA VIGENCIA 2025 VS 2026</t>
  </si>
  <si>
    <t>Vigencia 2025</t>
  </si>
  <si>
    <t>Vigencia 2026</t>
  </si>
  <si>
    <t>Diferencia</t>
  </si>
  <si>
    <t>VALOR EN TASAS AEROPORTUARIA NACIONAL 2025</t>
  </si>
  <si>
    <t>VALOR EN TASAS AEROPORTUARIA NACIONAL 2026</t>
  </si>
  <si>
    <t>CONCEPTO</t>
  </si>
  <si>
    <t>TASA (MCTE)</t>
  </si>
  <si>
    <t xml:space="preserve">VALOR TASA (M/CTE) </t>
  </si>
  <si>
    <t>VARIACION EN PESOS MES ANTERIOR</t>
  </si>
  <si>
    <t>VARIACION PORCENTUAL MES ANTERIOR</t>
  </si>
  <si>
    <t>Ingresos generados Pasajeros nacionales</t>
  </si>
  <si>
    <t>VALOR EN TASAS AEROPORTUARIA INTERNACIONAL 2025</t>
  </si>
  <si>
    <t>VALOR EN TASAS AEROPORTUARIA INTERNACIONAL 2026</t>
  </si>
  <si>
    <t>TASA (USD)</t>
  </si>
  <si>
    <t>VALOR TASA (MCTE)</t>
  </si>
  <si>
    <t>VVALOR TASA (MCTE)</t>
  </si>
  <si>
    <t xml:space="preserve">Ingresos generados pasajeros internacionales </t>
  </si>
  <si>
    <t>MONTO</t>
  </si>
  <si>
    <t>Diferencia en pesos  año anterior</t>
  </si>
  <si>
    <t>Monto Tasa Nacional en Pesos</t>
  </si>
  <si>
    <t>Monto Tasa Internacional en Pesos</t>
  </si>
  <si>
    <t>Variación en Pesos mes año anterior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</si>
</sst>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\ #,##0;[Red]\-&quot;$&quot;\ #,##0"/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164" formatCode="&quot;$&quot;\ #,##0"/>
    <numFmt numFmtId="165" formatCode="&quot;$&quot;\ #,##0.00"/>
    <numFmt numFmtId="166" formatCode="_(&quot;$&quot;\ * #,##0.00_);_(&quot;$&quot;\ * \(#,##0.00\);_(&quot;$&quot;\ * &quot;-&quot;??_);_(@_)"/>
    <numFmt numFmtId="167" formatCode="0.0%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sz val="10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6"/>
      <name val="Arial"/>
      <family val="2"/>
    </font>
    <font>
      <sz val="14"/>
      <color theme="1"/>
      <name val="Arial"/>
      <family val="2"/>
    </font>
    <font>
      <b/>
      <sz val="16"/>
      <color rgb="FFFFFFFF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FFFF"/>
      <name val="Arial"/>
      <family val="2"/>
    </font>
    <font>
      <b/>
      <sz val="11"/>
      <color rgb="FFFFFFFF"/>
      <name val="Arial"/>
      <family val="2"/>
    </font>
    <font>
      <b/>
      <i/>
      <sz val="8"/>
      <color theme="1"/>
      <name val="Arial"/>
      <family val="2"/>
    </font>
    <font>
      <sz val="10"/>
      <name val="Calibri"/>
      <family val="2"/>
      <scheme val="minor"/>
    </font>
    <font>
      <sz val="11"/>
      <color rgb="FFFF0000"/>
      <name val="Arial"/>
      <family val="2"/>
    </font>
    <font>
      <b/>
      <sz val="16"/>
      <color rgb="FFFF0000"/>
      <name val="Arial"/>
      <family val="2"/>
    </font>
    <font>
      <b/>
      <sz val="11"/>
      <color rgb="FFFF0000"/>
      <name val="Arial"/>
      <family val="2"/>
    </font>
    <font>
      <sz val="10"/>
      <color rgb="FF000000"/>
      <name val="Verdana"/>
      <family val="2"/>
    </font>
    <font>
      <b/>
      <sz val="11"/>
      <name val="Arial 16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7" tint="0.59999389629810485"/>
      <name val="Arial"/>
      <family val="2"/>
    </font>
    <font>
      <b/>
      <u/>
      <sz val="10"/>
      <color theme="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2F549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4" fillId="30" borderId="0">
      <alignment horizontal="center" vertical="center"/>
    </xf>
    <xf numFmtId="0" fontId="44" fillId="30" borderId="0"/>
    <xf numFmtId="0" fontId="1" fillId="0" borderId="0"/>
  </cellStyleXfs>
  <cellXfs count="486">
    <xf numFmtId="0" fontId="0" fillId="0" borderId="0" xfId="0"/>
    <xf numFmtId="0" fontId="5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5" fillId="7" borderId="5" xfId="0" applyFont="1" applyFill="1" applyBorder="1" applyAlignment="1">
      <alignment horizontal="left" vertical="top" wrapText="1"/>
    </xf>
    <xf numFmtId="3" fontId="5" fillId="7" borderId="7" xfId="2" applyNumberFormat="1" applyFont="1" applyFill="1" applyBorder="1" applyAlignment="1">
      <alignment horizontal="center" vertical="top" wrapText="1"/>
    </xf>
    <xf numFmtId="1" fontId="0" fillId="0" borderId="0" xfId="0" applyNumberFormat="1"/>
    <xf numFmtId="0" fontId="9" fillId="6" borderId="0" xfId="0" applyFont="1" applyFill="1" applyAlignment="1">
      <alignment horizontal="left" vertical="center" wrapText="1"/>
    </xf>
    <xf numFmtId="0" fontId="9" fillId="6" borderId="0" xfId="0" applyFont="1" applyFill="1" applyAlignment="1">
      <alignment horizontal="left" vertical="center" wrapText="1" indent="1"/>
    </xf>
    <xf numFmtId="0" fontId="0" fillId="6" borderId="0" xfId="0" applyFill="1"/>
    <xf numFmtId="0" fontId="10" fillId="6" borderId="0" xfId="0" applyFont="1" applyFill="1" applyAlignment="1">
      <alignment horizontal="left" vertical="top" wrapText="1"/>
    </xf>
    <xf numFmtId="0" fontId="10" fillId="6" borderId="0" xfId="0" applyFont="1" applyFill="1" applyAlignment="1">
      <alignment horizontal="right" vertical="top" wrapText="1"/>
    </xf>
    <xf numFmtId="3" fontId="11" fillId="6" borderId="0" xfId="0" applyNumberFormat="1" applyFont="1" applyFill="1" applyAlignment="1">
      <alignment horizontal="right" vertical="top" shrinkToFit="1"/>
    </xf>
    <xf numFmtId="0" fontId="5" fillId="9" borderId="3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5" fillId="14" borderId="8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4" fillId="0" borderId="0" xfId="0" applyFont="1"/>
    <xf numFmtId="3" fontId="21" fillId="0" borderId="3" xfId="0" applyNumberFormat="1" applyFont="1" applyBorder="1"/>
    <xf numFmtId="0" fontId="22" fillId="18" borderId="5" xfId="0" applyFont="1" applyFill="1" applyBorder="1" applyAlignment="1">
      <alignment horizontal="center" vertical="center" wrapText="1"/>
    </xf>
    <xf numFmtId="0" fontId="22" fillId="18" borderId="6" xfId="0" applyFont="1" applyFill="1" applyBorder="1" applyAlignment="1">
      <alignment horizontal="center" vertical="center" wrapText="1"/>
    </xf>
    <xf numFmtId="0" fontId="24" fillId="5" borderId="3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21" xfId="0" applyBorder="1" applyAlignment="1">
      <alignment horizontal="center"/>
    </xf>
    <xf numFmtId="3" fontId="0" fillId="0" borderId="0" xfId="0" applyNumberFormat="1"/>
    <xf numFmtId="0" fontId="5" fillId="3" borderId="8" xfId="0" applyFont="1" applyFill="1" applyBorder="1" applyAlignment="1">
      <alignment horizontal="center" vertical="center" wrapText="1"/>
    </xf>
    <xf numFmtId="0" fontId="22" fillId="18" borderId="3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8" fillId="11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3" fontId="8" fillId="0" borderId="0" xfId="0" applyNumberFormat="1" applyFont="1" applyAlignment="1">
      <alignment horizontal="right" vertical="top" shrinkToFit="1"/>
    </xf>
    <xf numFmtId="0" fontId="10" fillId="6" borderId="24" xfId="0" applyFont="1" applyFill="1" applyBorder="1"/>
    <xf numFmtId="0" fontId="0" fillId="0" borderId="0" xfId="0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10" fontId="17" fillId="0" borderId="0" xfId="0" applyNumberFormat="1" applyFont="1" applyAlignment="1">
      <alignment horizontal="center" vertical="center"/>
    </xf>
    <xf numFmtId="0" fontId="13" fillId="6" borderId="24" xfId="0" applyFont="1" applyFill="1" applyBorder="1"/>
    <xf numFmtId="0" fontId="10" fillId="0" borderId="0" xfId="0" applyFont="1" applyAlignment="1">
      <alignment horizontal="left" vertical="top" wrapText="1"/>
    </xf>
    <xf numFmtId="1" fontId="11" fillId="0" borderId="0" xfId="0" applyNumberFormat="1" applyFont="1" applyAlignment="1">
      <alignment horizontal="right" vertical="top" shrinkToFit="1"/>
    </xf>
    <xf numFmtId="3" fontId="15" fillId="0" borderId="3" xfId="0" applyNumberFormat="1" applyFont="1" applyBorder="1" applyAlignment="1">
      <alignment horizontal="center" vertical="center" shrinkToFit="1"/>
    </xf>
    <xf numFmtId="3" fontId="16" fillId="0" borderId="4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right" vertical="top" wrapText="1"/>
    </xf>
    <xf numFmtId="3" fontId="8" fillId="6" borderId="0" xfId="0" applyNumberFormat="1" applyFont="1" applyFill="1" applyAlignment="1">
      <alignment horizontal="right" vertical="top" shrinkToFit="1"/>
    </xf>
    <xf numFmtId="1" fontId="8" fillId="0" borderId="0" xfId="0" applyNumberFormat="1" applyFont="1" applyAlignment="1">
      <alignment horizontal="right" vertical="top" shrinkToFit="1"/>
    </xf>
    <xf numFmtId="1" fontId="8" fillId="6" borderId="0" xfId="0" applyNumberFormat="1" applyFont="1" applyFill="1" applyAlignment="1">
      <alignment horizontal="right" vertical="top" shrinkToFit="1"/>
    </xf>
    <xf numFmtId="1" fontId="8" fillId="0" borderId="3" xfId="0" applyNumberFormat="1" applyFont="1" applyBorder="1" applyAlignment="1">
      <alignment horizontal="center" vertical="top" shrinkToFit="1"/>
    </xf>
    <xf numFmtId="0" fontId="23" fillId="5" borderId="10" xfId="0" applyFont="1" applyFill="1" applyBorder="1" applyAlignment="1">
      <alignment horizontal="center" vertical="center" wrapText="1"/>
    </xf>
    <xf numFmtId="41" fontId="5" fillId="6" borderId="0" xfId="1" applyFont="1" applyFill="1" applyBorder="1" applyAlignment="1">
      <alignment horizontal="center" vertical="center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7" fillId="0" borderId="41" xfId="0" applyFont="1" applyBorder="1" applyAlignment="1">
      <alignment horizontal="left" vertical="top" wrapText="1"/>
    </xf>
    <xf numFmtId="0" fontId="26" fillId="5" borderId="3" xfId="0" applyFont="1" applyFill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25" fillId="16" borderId="2" xfId="0" applyFont="1" applyFill="1" applyBorder="1" applyAlignment="1">
      <alignment horizontal="center" vertical="center" wrapText="1"/>
    </xf>
    <xf numFmtId="0" fontId="2" fillId="8" borderId="41" xfId="0" applyFont="1" applyFill="1" applyBorder="1" applyAlignment="1">
      <alignment horizontal="center" vertical="center"/>
    </xf>
    <xf numFmtId="0" fontId="2" fillId="8" borderId="42" xfId="0" applyFont="1" applyFill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32" fillId="21" borderId="20" xfId="0" applyFont="1" applyFill="1" applyBorder="1" applyAlignment="1">
      <alignment horizontal="center" vertical="center" wrapText="1"/>
    </xf>
    <xf numFmtId="0" fontId="32" fillId="21" borderId="17" xfId="0" applyFont="1" applyFill="1" applyBorder="1" applyAlignment="1">
      <alignment horizontal="center" vertical="center" wrapText="1"/>
    </xf>
    <xf numFmtId="0" fontId="33" fillId="22" borderId="20" xfId="0" applyFont="1" applyFill="1" applyBorder="1" applyAlignment="1">
      <alignment horizontal="center" vertical="center" wrapText="1"/>
    </xf>
    <xf numFmtId="3" fontId="33" fillId="22" borderId="17" xfId="0" applyNumberFormat="1" applyFont="1" applyFill="1" applyBorder="1" applyAlignment="1">
      <alignment horizontal="center" vertical="center" wrapText="1"/>
    </xf>
    <xf numFmtId="0" fontId="28" fillId="0" borderId="20" xfId="0" applyFont="1" applyBorder="1" applyAlignment="1">
      <alignment horizontal="justify" vertical="center" wrapText="1"/>
    </xf>
    <xf numFmtId="0" fontId="29" fillId="0" borderId="17" xfId="0" applyFont="1" applyBorder="1" applyAlignment="1">
      <alignment horizontal="center" vertical="center" wrapText="1"/>
    </xf>
    <xf numFmtId="3" fontId="34" fillId="0" borderId="17" xfId="0" applyNumberFormat="1" applyFont="1" applyBorder="1" applyAlignment="1">
      <alignment horizontal="center" vertical="center" wrapText="1"/>
    </xf>
    <xf numFmtId="0" fontId="19" fillId="28" borderId="41" xfId="0" applyFont="1" applyFill="1" applyBorder="1" applyAlignment="1">
      <alignment horizontal="left"/>
    </xf>
    <xf numFmtId="0" fontId="19" fillId="28" borderId="44" xfId="0" applyFont="1" applyFill="1" applyBorder="1" applyAlignment="1">
      <alignment horizontal="left"/>
    </xf>
    <xf numFmtId="0" fontId="16" fillId="25" borderId="24" xfId="0" applyFont="1" applyFill="1" applyBorder="1" applyAlignment="1">
      <alignment horizontal="left"/>
    </xf>
    <xf numFmtId="3" fontId="16" fillId="0" borderId="2" xfId="0" applyNumberFormat="1" applyFont="1" applyBorder="1" applyAlignment="1">
      <alignment horizontal="center"/>
    </xf>
    <xf numFmtId="3" fontId="16" fillId="0" borderId="3" xfId="0" applyNumberFormat="1" applyFont="1" applyBorder="1" applyAlignment="1">
      <alignment horizontal="center"/>
    </xf>
    <xf numFmtId="0" fontId="19" fillId="27" borderId="2" xfId="0" applyFont="1" applyFill="1" applyBorder="1" applyAlignment="1">
      <alignment horizontal="center" vertical="center"/>
    </xf>
    <xf numFmtId="0" fontId="19" fillId="27" borderId="3" xfId="0" applyFont="1" applyFill="1" applyBorder="1" applyAlignment="1">
      <alignment horizontal="center" vertical="center"/>
    </xf>
    <xf numFmtId="0" fontId="19" fillId="27" borderId="4" xfId="0" applyFont="1" applyFill="1" applyBorder="1" applyAlignment="1">
      <alignment horizontal="center" vertical="center"/>
    </xf>
    <xf numFmtId="0" fontId="16" fillId="17" borderId="3" xfId="0" applyFont="1" applyFill="1" applyBorder="1" applyAlignment="1">
      <alignment horizontal="center"/>
    </xf>
    <xf numFmtId="0" fontId="16" fillId="17" borderId="4" xfId="0" applyFont="1" applyFill="1" applyBorder="1" applyAlignment="1">
      <alignment horizontal="center"/>
    </xf>
    <xf numFmtId="0" fontId="16" fillId="25" borderId="2" xfId="0" applyFont="1" applyFill="1" applyBorder="1" applyAlignment="1">
      <alignment horizontal="left"/>
    </xf>
    <xf numFmtId="0" fontId="27" fillId="0" borderId="1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25" fillId="24" borderId="2" xfId="0" applyFont="1" applyFill="1" applyBorder="1" applyAlignment="1">
      <alignment horizontal="center"/>
    </xf>
    <xf numFmtId="0" fontId="25" fillId="24" borderId="3" xfId="0" applyFont="1" applyFill="1" applyBorder="1" applyAlignment="1">
      <alignment horizontal="center"/>
    </xf>
    <xf numFmtId="0" fontId="25" fillId="24" borderId="4" xfId="0" applyFont="1" applyFill="1" applyBorder="1" applyAlignment="1">
      <alignment horizontal="center"/>
    </xf>
    <xf numFmtId="0" fontId="24" fillId="25" borderId="24" xfId="0" applyFont="1" applyFill="1" applyBorder="1" applyAlignment="1">
      <alignment horizontal="left"/>
    </xf>
    <xf numFmtId="3" fontId="24" fillId="0" borderId="2" xfId="0" applyNumberFormat="1" applyFont="1" applyBorder="1" applyAlignment="1">
      <alignment horizontal="center"/>
    </xf>
    <xf numFmtId="3" fontId="24" fillId="0" borderId="3" xfId="0" applyNumberFormat="1" applyFont="1" applyBorder="1" applyAlignment="1">
      <alignment horizontal="center"/>
    </xf>
    <xf numFmtId="3" fontId="24" fillId="0" borderId="4" xfId="0" applyNumberFormat="1" applyFont="1" applyBorder="1" applyAlignment="1">
      <alignment horizontal="center"/>
    </xf>
    <xf numFmtId="0" fontId="24" fillId="25" borderId="44" xfId="0" applyFont="1" applyFill="1" applyBorder="1" applyAlignment="1">
      <alignment horizontal="left"/>
    </xf>
    <xf numFmtId="0" fontId="25" fillId="24" borderId="24" xfId="0" applyFont="1" applyFill="1" applyBorder="1" applyAlignment="1">
      <alignment horizontal="center" wrapText="1"/>
    </xf>
    <xf numFmtId="3" fontId="26" fillId="10" borderId="3" xfId="0" applyNumberFormat="1" applyFont="1" applyFill="1" applyBorder="1" applyAlignment="1">
      <alignment horizontal="center"/>
    </xf>
    <xf numFmtId="0" fontId="7" fillId="0" borderId="24" xfId="0" applyFont="1" applyBorder="1"/>
    <xf numFmtId="3" fontId="7" fillId="0" borderId="2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 vertical="center"/>
    </xf>
    <xf numFmtId="10" fontId="7" fillId="0" borderId="37" xfId="0" applyNumberFormat="1" applyFont="1" applyBorder="1" applyAlignment="1">
      <alignment horizontal="center" vertical="center"/>
    </xf>
    <xf numFmtId="3" fontId="5" fillId="12" borderId="3" xfId="0" applyNumberFormat="1" applyFont="1" applyFill="1" applyBorder="1" applyAlignment="1">
      <alignment horizontal="center" vertical="center"/>
    </xf>
    <xf numFmtId="0" fontId="20" fillId="0" borderId="27" xfId="0" applyFont="1" applyBorder="1" applyAlignment="1">
      <alignment horizontal="center"/>
    </xf>
    <xf numFmtId="3" fontId="30" fillId="17" borderId="32" xfId="0" applyNumberFormat="1" applyFont="1" applyFill="1" applyBorder="1" applyAlignment="1">
      <alignment horizontal="center"/>
    </xf>
    <xf numFmtId="3" fontId="30" fillId="17" borderId="33" xfId="0" applyNumberFormat="1" applyFont="1" applyFill="1" applyBorder="1" applyAlignment="1">
      <alignment horizontal="center"/>
    </xf>
    <xf numFmtId="3" fontId="30" fillId="17" borderId="34" xfId="0" applyNumberFormat="1" applyFont="1" applyFill="1" applyBorder="1" applyAlignment="1">
      <alignment horizontal="center"/>
    </xf>
    <xf numFmtId="0" fontId="3" fillId="12" borderId="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 wrapText="1"/>
    </xf>
    <xf numFmtId="10" fontId="16" fillId="0" borderId="0" xfId="3" applyNumberFormat="1" applyFont="1" applyAlignment="1">
      <alignment horizontal="justify" vertical="center" wrapText="1"/>
    </xf>
    <xf numFmtId="3" fontId="13" fillId="0" borderId="0" xfId="0" applyNumberFormat="1" applyFont="1" applyAlignment="1">
      <alignment horizontal="center" vertical="center" wrapText="1"/>
    </xf>
    <xf numFmtId="0" fontId="23" fillId="10" borderId="3" xfId="0" applyFont="1" applyFill="1" applyBorder="1" applyAlignment="1">
      <alignment horizontal="center"/>
    </xf>
    <xf numFmtId="3" fontId="15" fillId="0" borderId="42" xfId="0" applyNumberFormat="1" applyFont="1" applyBorder="1" applyAlignment="1">
      <alignment horizontal="center" vertical="center" shrinkToFit="1"/>
    </xf>
    <xf numFmtId="3" fontId="7" fillId="0" borderId="4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center" vertical="top" shrinkToFit="1"/>
    </xf>
    <xf numFmtId="0" fontId="17" fillId="12" borderId="4" xfId="0" applyFont="1" applyFill="1" applyBorder="1" applyAlignment="1">
      <alignment horizontal="center" vertical="center"/>
    </xf>
    <xf numFmtId="0" fontId="23" fillId="14" borderId="8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48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0" fontId="26" fillId="5" borderId="6" xfId="0" applyFont="1" applyFill="1" applyBorder="1" applyAlignment="1">
      <alignment horizontal="center" vertical="center"/>
    </xf>
    <xf numFmtId="0" fontId="18" fillId="12" borderId="7" xfId="0" applyFont="1" applyFill="1" applyBorder="1" applyAlignment="1">
      <alignment horizontal="center" vertical="center"/>
    </xf>
    <xf numFmtId="3" fontId="21" fillId="0" borderId="0" xfId="0" applyNumberFormat="1" applyFont="1"/>
    <xf numFmtId="0" fontId="3" fillId="0" borderId="2" xfId="0" applyFont="1" applyBorder="1"/>
    <xf numFmtId="3" fontId="3" fillId="0" borderId="4" xfId="0" applyNumberFormat="1" applyFont="1" applyBorder="1"/>
    <xf numFmtId="0" fontId="3" fillId="12" borderId="5" xfId="0" applyFont="1" applyFill="1" applyBorder="1" applyAlignment="1">
      <alignment horizontal="center" vertical="center" wrapText="1"/>
    </xf>
    <xf numFmtId="3" fontId="3" fillId="12" borderId="7" xfId="0" applyNumberFormat="1" applyFont="1" applyFill="1" applyBorder="1"/>
    <xf numFmtId="0" fontId="24" fillId="12" borderId="23" xfId="0" applyFont="1" applyFill="1" applyBorder="1" applyAlignment="1">
      <alignment horizontal="center" vertical="center" wrapText="1"/>
    </xf>
    <xf numFmtId="1" fontId="41" fillId="0" borderId="0" xfId="0" applyNumberFormat="1" applyFont="1" applyAlignment="1">
      <alignment vertical="top" shrinkToFit="1"/>
    </xf>
    <xf numFmtId="0" fontId="5" fillId="9" borderId="8" xfId="0" applyFont="1" applyFill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3" fontId="21" fillId="0" borderId="22" xfId="0" applyNumberFormat="1" applyFont="1" applyBorder="1"/>
    <xf numFmtId="0" fontId="20" fillId="17" borderId="32" xfId="0" applyFont="1" applyFill="1" applyBorder="1" applyAlignment="1">
      <alignment horizontal="center" vertical="center"/>
    </xf>
    <xf numFmtId="0" fontId="20" fillId="17" borderId="33" xfId="0" applyFont="1" applyFill="1" applyBorder="1" applyAlignment="1">
      <alignment horizontal="center" vertical="center"/>
    </xf>
    <xf numFmtId="0" fontId="20" fillId="17" borderId="34" xfId="0" applyFont="1" applyFill="1" applyBorder="1" applyAlignment="1">
      <alignment horizontal="center" vertical="center"/>
    </xf>
    <xf numFmtId="3" fontId="21" fillId="0" borderId="54" xfId="0" applyNumberFormat="1" applyFont="1" applyBorder="1"/>
    <xf numFmtId="3" fontId="21" fillId="0" borderId="43" xfId="0" applyNumberFormat="1" applyFont="1" applyBorder="1"/>
    <xf numFmtId="0" fontId="21" fillId="13" borderId="52" xfId="0" applyFont="1" applyFill="1" applyBorder="1"/>
    <xf numFmtId="0" fontId="21" fillId="13" borderId="55" xfId="0" applyFont="1" applyFill="1" applyBorder="1"/>
    <xf numFmtId="0" fontId="21" fillId="13" borderId="56" xfId="0" applyFont="1" applyFill="1" applyBorder="1"/>
    <xf numFmtId="3" fontId="21" fillId="0" borderId="57" xfId="0" applyNumberFormat="1" applyFont="1" applyBorder="1"/>
    <xf numFmtId="3" fontId="21" fillId="0" borderId="30" xfId="0" applyNumberFormat="1" applyFont="1" applyBorder="1"/>
    <xf numFmtId="0" fontId="20" fillId="12" borderId="51" xfId="0" applyFont="1" applyFill="1" applyBorder="1"/>
    <xf numFmtId="3" fontId="20" fillId="12" borderId="58" xfId="0" applyNumberFormat="1" applyFont="1" applyFill="1" applyBorder="1"/>
    <xf numFmtId="3" fontId="20" fillId="12" borderId="33" xfId="0" applyNumberFormat="1" applyFont="1" applyFill="1" applyBorder="1"/>
    <xf numFmtId="0" fontId="14" fillId="0" borderId="0" xfId="0" applyFont="1" applyAlignment="1">
      <alignment vertical="center"/>
    </xf>
    <xf numFmtId="0" fontId="27" fillId="0" borderId="0" xfId="0" applyFont="1"/>
    <xf numFmtId="164" fontId="40" fillId="0" borderId="0" xfId="0" applyNumberFormat="1" applyFont="1" applyAlignment="1">
      <alignment horizontal="center"/>
    </xf>
    <xf numFmtId="42" fontId="3" fillId="0" borderId="0" xfId="12" applyFont="1" applyFill="1" applyBorder="1" applyAlignment="1">
      <alignment horizontal="center"/>
    </xf>
    <xf numFmtId="9" fontId="41" fillId="0" borderId="0" xfId="3" applyFont="1" applyAlignment="1">
      <alignment vertical="top" shrinkToFit="1"/>
    </xf>
    <xf numFmtId="0" fontId="5" fillId="12" borderId="24" xfId="0" applyFont="1" applyFill="1" applyBorder="1" applyAlignment="1">
      <alignment horizontal="center" vertical="center"/>
    </xf>
    <xf numFmtId="3" fontId="5" fillId="12" borderId="23" xfId="0" applyNumberFormat="1" applyFont="1" applyFill="1" applyBorder="1" applyAlignment="1">
      <alignment horizontal="center" vertical="center"/>
    </xf>
    <xf numFmtId="0" fontId="25" fillId="16" borderId="41" xfId="0" applyFont="1" applyFill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/>
    </xf>
    <xf numFmtId="3" fontId="21" fillId="0" borderId="23" xfId="0" applyNumberFormat="1" applyFont="1" applyBorder="1"/>
    <xf numFmtId="3" fontId="20" fillId="12" borderId="34" xfId="0" applyNumberFormat="1" applyFont="1" applyFill="1" applyBorder="1"/>
    <xf numFmtId="10" fontId="3" fillId="0" borderId="0" xfId="3" applyNumberFormat="1" applyFont="1"/>
    <xf numFmtId="0" fontId="36" fillId="12" borderId="5" xfId="0" applyFont="1" applyFill="1" applyBorder="1" applyAlignment="1">
      <alignment horizontal="center" vertical="center" wrapText="1"/>
    </xf>
    <xf numFmtId="0" fontId="5" fillId="7" borderId="32" xfId="0" applyFont="1" applyFill="1" applyBorder="1" applyAlignment="1">
      <alignment horizontal="left" vertical="top" wrapText="1"/>
    </xf>
    <xf numFmtId="10" fontId="41" fillId="0" borderId="37" xfId="0" applyNumberFormat="1" applyFont="1" applyBorder="1" applyAlignment="1">
      <alignment horizontal="center" vertical="center"/>
    </xf>
    <xf numFmtId="0" fontId="23" fillId="14" borderId="32" xfId="0" applyFont="1" applyFill="1" applyBorder="1" applyAlignment="1">
      <alignment horizontal="center" vertical="center" wrapText="1"/>
    </xf>
    <xf numFmtId="3" fontId="29" fillId="0" borderId="15" xfId="0" applyNumberFormat="1" applyFont="1" applyBorder="1" applyAlignment="1">
      <alignment horizontal="center" vertical="center" wrapText="1"/>
    </xf>
    <xf numFmtId="3" fontId="5" fillId="29" borderId="49" xfId="2" applyNumberFormat="1" applyFont="1" applyFill="1" applyBorder="1" applyAlignment="1">
      <alignment horizontal="center" vertical="top" wrapText="1"/>
    </xf>
    <xf numFmtId="3" fontId="5" fillId="29" borderId="53" xfId="2" applyNumberFormat="1" applyFont="1" applyFill="1" applyBorder="1" applyAlignment="1">
      <alignment horizontal="center" vertical="top" wrapText="1"/>
    </xf>
    <xf numFmtId="0" fontId="7" fillId="15" borderId="8" xfId="0" applyFont="1" applyFill="1" applyBorder="1" applyAlignment="1">
      <alignment horizontal="left" vertical="top" wrapText="1"/>
    </xf>
    <xf numFmtId="0" fontId="7" fillId="15" borderId="9" xfId="0" applyFont="1" applyFill="1" applyBorder="1" applyAlignment="1">
      <alignment horizontal="left" vertical="top" wrapText="1"/>
    </xf>
    <xf numFmtId="3" fontId="7" fillId="15" borderId="9" xfId="0" applyNumberFormat="1" applyFont="1" applyFill="1" applyBorder="1" applyAlignment="1">
      <alignment horizontal="center" vertical="center" wrapText="1"/>
    </xf>
    <xf numFmtId="3" fontId="7" fillId="15" borderId="10" xfId="0" applyNumberFormat="1" applyFont="1" applyFill="1" applyBorder="1" applyAlignment="1">
      <alignment horizontal="center" vertical="center" wrapText="1"/>
    </xf>
    <xf numFmtId="0" fontId="7" fillId="15" borderId="5" xfId="0" applyFont="1" applyFill="1" applyBorder="1" applyAlignment="1">
      <alignment horizontal="left" vertical="top" wrapText="1"/>
    </xf>
    <xf numFmtId="0" fontId="7" fillId="15" borderId="6" xfId="0" applyFont="1" applyFill="1" applyBorder="1" applyAlignment="1">
      <alignment horizontal="left" vertical="top" wrapText="1"/>
    </xf>
    <xf numFmtId="3" fontId="7" fillId="15" borderId="6" xfId="0" applyNumberFormat="1" applyFont="1" applyFill="1" applyBorder="1" applyAlignment="1">
      <alignment horizontal="center" vertical="center" wrapText="1"/>
    </xf>
    <xf numFmtId="3" fontId="7" fillId="15" borderId="7" xfId="0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3" fontId="7" fillId="0" borderId="9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3" fontId="7" fillId="0" borderId="6" xfId="0" applyNumberFormat="1" applyFont="1" applyBorder="1" applyAlignment="1">
      <alignment horizontal="center" vertical="center" wrapText="1"/>
    </xf>
    <xf numFmtId="10" fontId="0" fillId="0" borderId="0" xfId="3" applyNumberFormat="1" applyFont="1"/>
    <xf numFmtId="10" fontId="42" fillId="17" borderId="32" xfId="3" applyNumberFormat="1" applyFont="1" applyFill="1" applyBorder="1" applyAlignment="1">
      <alignment horizontal="center"/>
    </xf>
    <xf numFmtId="10" fontId="43" fillId="12" borderId="37" xfId="0" applyNumberFormat="1" applyFont="1" applyFill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 shrinkToFit="1"/>
    </xf>
    <xf numFmtId="0" fontId="39" fillId="0" borderId="35" xfId="0" applyFont="1" applyBorder="1" applyAlignment="1">
      <alignment wrapText="1"/>
    </xf>
    <xf numFmtId="0" fontId="39" fillId="0" borderId="15" xfId="0" applyFont="1" applyBorder="1" applyAlignment="1">
      <alignment wrapText="1"/>
    </xf>
    <xf numFmtId="0" fontId="27" fillId="0" borderId="11" xfId="0" applyFont="1" applyBorder="1"/>
    <xf numFmtId="0" fontId="27" fillId="0" borderId="12" xfId="0" applyFont="1" applyBorder="1"/>
    <xf numFmtId="0" fontId="27" fillId="0" borderId="13" xfId="0" applyFont="1" applyBorder="1"/>
    <xf numFmtId="3" fontId="24" fillId="25" borderId="36" xfId="0" applyNumberFormat="1" applyFont="1" applyFill="1" applyBorder="1"/>
    <xf numFmtId="3" fontId="24" fillId="25" borderId="37" xfId="0" applyNumberFormat="1" applyFont="1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3" fontId="19" fillId="28" borderId="36" xfId="0" applyNumberFormat="1" applyFont="1" applyFill="1" applyBorder="1"/>
    <xf numFmtId="3" fontId="19" fillId="28" borderId="37" xfId="0" applyNumberFormat="1" applyFont="1" applyFill="1" applyBorder="1"/>
    <xf numFmtId="0" fontId="39" fillId="0" borderId="35" xfId="0" applyFont="1" applyBorder="1" applyAlignment="1">
      <alignment vertical="center" wrapText="1"/>
    </xf>
    <xf numFmtId="0" fontId="39" fillId="0" borderId="15" xfId="0" applyFont="1" applyBorder="1" applyAlignment="1">
      <alignment vertical="center" wrapText="1"/>
    </xf>
    <xf numFmtId="0" fontId="5" fillId="14" borderId="59" xfId="0" applyFont="1" applyFill="1" applyBorder="1" applyAlignment="1">
      <alignment horizontal="center" vertical="center" wrapText="1"/>
    </xf>
    <xf numFmtId="0" fontId="5" fillId="14" borderId="31" xfId="0" applyFont="1" applyFill="1" applyBorder="1" applyAlignment="1">
      <alignment horizontal="center" vertical="center" wrapText="1"/>
    </xf>
    <xf numFmtId="0" fontId="5" fillId="15" borderId="31" xfId="0" applyFont="1" applyFill="1" applyBorder="1" applyAlignment="1">
      <alignment horizontal="center" vertical="center" wrapText="1"/>
    </xf>
    <xf numFmtId="0" fontId="5" fillId="4" borderId="6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left" vertical="top" wrapText="1"/>
    </xf>
    <xf numFmtId="3" fontId="5" fillId="7" borderId="3" xfId="2" applyNumberFormat="1" applyFont="1" applyFill="1" applyBorder="1" applyAlignment="1">
      <alignment horizontal="center" vertical="top" wrapText="1"/>
    </xf>
    <xf numFmtId="0" fontId="23" fillId="19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11" borderId="3" xfId="0" applyFont="1" applyFill="1" applyBorder="1" applyAlignment="1">
      <alignment horizontal="center" vertical="center" wrapText="1"/>
    </xf>
    <xf numFmtId="10" fontId="7" fillId="0" borderId="3" xfId="3" applyNumberFormat="1" applyFont="1" applyBorder="1" applyAlignment="1">
      <alignment horizontal="center" vertical="center" wrapText="1"/>
    </xf>
    <xf numFmtId="167" fontId="0" fillId="0" borderId="3" xfId="0" applyNumberFormat="1" applyBorder="1" applyAlignment="1">
      <alignment horizontal="center"/>
    </xf>
    <xf numFmtId="0" fontId="5" fillId="14" borderId="3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1" fontId="16" fillId="0" borderId="0" xfId="0" applyNumberFormat="1" applyFont="1" applyAlignment="1">
      <alignment horizontal="center" vertical="center" wrapText="1"/>
    </xf>
    <xf numFmtId="0" fontId="21" fillId="0" borderId="4" xfId="0" applyFont="1" applyBorder="1"/>
    <xf numFmtId="0" fontId="21" fillId="0" borderId="42" xfId="0" applyFont="1" applyBorder="1"/>
    <xf numFmtId="3" fontId="7" fillId="6" borderId="3" xfId="0" applyNumberFormat="1" applyFont="1" applyFill="1" applyBorder="1" applyAlignment="1">
      <alignment horizontal="center"/>
    </xf>
    <xf numFmtId="3" fontId="7" fillId="6" borderId="23" xfId="0" applyNumberFormat="1" applyFont="1" applyFill="1" applyBorder="1" applyAlignment="1">
      <alignment horizontal="center" vertical="center"/>
    </xf>
    <xf numFmtId="10" fontId="41" fillId="6" borderId="37" xfId="0" applyNumberFormat="1" applyFont="1" applyFill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/>
    </xf>
    <xf numFmtId="9" fontId="3" fillId="0" borderId="3" xfId="0" applyNumberFormat="1" applyFont="1" applyBorder="1" applyAlignment="1">
      <alignment horizontal="center"/>
    </xf>
    <xf numFmtId="0" fontId="28" fillId="0" borderId="0" xfId="0" applyFont="1" applyAlignment="1">
      <alignment horizontal="justify" vertical="center" wrapText="1"/>
    </xf>
    <xf numFmtId="3" fontId="34" fillId="0" borderId="0" xfId="0" applyNumberFormat="1" applyFont="1" applyAlignment="1">
      <alignment horizontal="center" vertical="center" wrapText="1"/>
    </xf>
    <xf numFmtId="1" fontId="15" fillId="0" borderId="3" xfId="0" applyNumberFormat="1" applyFont="1" applyBorder="1" applyAlignment="1">
      <alignment horizontal="center" vertical="top" shrinkToFit="1"/>
    </xf>
    <xf numFmtId="9" fontId="16" fillId="0" borderId="3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25" fillId="27" borderId="24" xfId="0" applyFont="1" applyFill="1" applyBorder="1" applyAlignment="1">
      <alignment horizontal="center" wrapText="1"/>
    </xf>
    <xf numFmtId="0" fontId="24" fillId="17" borderId="2" xfId="0" applyFont="1" applyFill="1" applyBorder="1" applyAlignment="1">
      <alignment horizontal="center" wrapText="1"/>
    </xf>
    <xf numFmtId="3" fontId="7" fillId="12" borderId="3" xfId="0" applyNumberFormat="1" applyFont="1" applyFill="1" applyBorder="1" applyAlignment="1">
      <alignment horizontal="center"/>
    </xf>
    <xf numFmtId="17" fontId="47" fillId="0" borderId="2" xfId="0" applyNumberFormat="1" applyFont="1" applyBorder="1"/>
    <xf numFmtId="0" fontId="47" fillId="0" borderId="3" xfId="0" applyFont="1" applyBorder="1" applyAlignment="1">
      <alignment horizontal="center" vertical="center" wrapText="1"/>
    </xf>
    <xf numFmtId="6" fontId="48" fillId="0" borderId="3" xfId="1" applyNumberFormat="1" applyFont="1" applyBorder="1"/>
    <xf numFmtId="10" fontId="48" fillId="0" borderId="4" xfId="3" applyNumberFormat="1" applyFont="1" applyBorder="1"/>
    <xf numFmtId="10" fontId="49" fillId="0" borderId="4" xfId="3" applyNumberFormat="1" applyFont="1" applyBorder="1"/>
    <xf numFmtId="10" fontId="48" fillId="0" borderId="4" xfId="3" applyNumberFormat="1" applyFont="1" applyBorder="1" applyAlignment="1">
      <alignment horizontal="right" vertical="center"/>
    </xf>
    <xf numFmtId="10" fontId="47" fillId="0" borderId="4" xfId="3" applyNumberFormat="1" applyFont="1" applyBorder="1"/>
    <xf numFmtId="41" fontId="48" fillId="0" borderId="3" xfId="1" applyFont="1" applyBorder="1"/>
    <xf numFmtId="41" fontId="49" fillId="0" borderId="6" xfId="1" applyFont="1" applyBorder="1"/>
    <xf numFmtId="10" fontId="49" fillId="0" borderId="7" xfId="3" applyNumberFormat="1" applyFont="1" applyBorder="1"/>
    <xf numFmtId="164" fontId="24" fillId="0" borderId="0" xfId="1" applyNumberFormat="1" applyFont="1" applyBorder="1"/>
    <xf numFmtId="42" fontId="47" fillId="0" borderId="3" xfId="1" applyNumberFormat="1" applyFont="1" applyBorder="1"/>
    <xf numFmtId="42" fontId="47" fillId="0" borderId="30" xfId="1" applyNumberFormat="1" applyFont="1" applyBorder="1"/>
    <xf numFmtId="17" fontId="47" fillId="0" borderId="3" xfId="0" applyNumberFormat="1" applyFont="1" applyBorder="1"/>
    <xf numFmtId="10" fontId="48" fillId="0" borderId="3" xfId="3" applyNumberFormat="1" applyFont="1" applyBorder="1"/>
    <xf numFmtId="10" fontId="49" fillId="0" borderId="3" xfId="3" applyNumberFormat="1" applyFont="1" applyBorder="1"/>
    <xf numFmtId="10" fontId="47" fillId="0" borderId="3" xfId="3" applyNumberFormat="1" applyFont="1" applyBorder="1"/>
    <xf numFmtId="41" fontId="49" fillId="0" borderId="3" xfId="1" applyFont="1" applyBorder="1"/>
    <xf numFmtId="10" fontId="23" fillId="0" borderId="3" xfId="3" applyNumberFormat="1" applyFont="1" applyBorder="1"/>
    <xf numFmtId="164" fontId="24" fillId="0" borderId="22" xfId="1" applyNumberFormat="1" applyFont="1" applyBorder="1"/>
    <xf numFmtId="164" fontId="24" fillId="0" borderId="3" xfId="1" applyNumberFormat="1" applyFont="1" applyBorder="1" applyAlignment="1">
      <alignment horizontal="center"/>
    </xf>
    <xf numFmtId="0" fontId="47" fillId="26" borderId="2" xfId="0" applyFont="1" applyFill="1" applyBorder="1"/>
    <xf numFmtId="164" fontId="47" fillId="0" borderId="3" xfId="0" applyNumberFormat="1" applyFont="1" applyBorder="1"/>
    <xf numFmtId="164" fontId="24" fillId="0" borderId="6" xfId="0" applyNumberFormat="1" applyFont="1" applyBorder="1" applyAlignment="1">
      <alignment horizontal="center" vertical="center"/>
    </xf>
    <xf numFmtId="165" fontId="24" fillId="0" borderId="6" xfId="0" applyNumberFormat="1" applyFont="1" applyBorder="1" applyAlignment="1">
      <alignment horizontal="center" vertical="center"/>
    </xf>
    <xf numFmtId="17" fontId="25" fillId="23" borderId="8" xfId="0" applyNumberFormat="1" applyFont="1" applyFill="1" applyBorder="1" applyAlignment="1">
      <alignment horizontal="center"/>
    </xf>
    <xf numFmtId="0" fontId="25" fillId="23" borderId="9" xfId="0" applyFont="1" applyFill="1" applyBorder="1" applyAlignment="1">
      <alignment horizontal="center"/>
    </xf>
    <xf numFmtId="0" fontId="47" fillId="0" borderId="0" xfId="0" applyFont="1"/>
    <xf numFmtId="42" fontId="47" fillId="0" borderId="3" xfId="12" applyFont="1" applyBorder="1"/>
    <xf numFmtId="42" fontId="47" fillId="0" borderId="0" xfId="12" applyFont="1"/>
    <xf numFmtId="9" fontId="47" fillId="0" borderId="0" xfId="3" applyFont="1"/>
    <xf numFmtId="164" fontId="47" fillId="0" borderId="3" xfId="1" applyNumberFormat="1" applyFont="1" applyBorder="1" applyAlignment="1"/>
    <xf numFmtId="164" fontId="47" fillId="0" borderId="3" xfId="1" applyNumberFormat="1" applyFont="1" applyBorder="1"/>
    <xf numFmtId="0" fontId="24" fillId="0" borderId="0" xfId="0" applyFont="1"/>
    <xf numFmtId="42" fontId="24" fillId="0" borderId="0" xfId="12" applyFont="1" applyFill="1" applyBorder="1" applyAlignment="1">
      <alignment horizontal="center"/>
    </xf>
    <xf numFmtId="42" fontId="23" fillId="0" borderId="0" xfId="12" applyFont="1" applyFill="1" applyBorder="1" applyAlignment="1">
      <alignment horizontal="center"/>
    </xf>
    <xf numFmtId="3" fontId="7" fillId="0" borderId="3" xfId="0" applyNumberFormat="1" applyFont="1" applyBorder="1" applyAlignment="1">
      <alignment horizontal="center" vertical="center"/>
    </xf>
    <xf numFmtId="3" fontId="30" fillId="17" borderId="3" xfId="0" applyNumberFormat="1" applyFont="1" applyFill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0" xfId="0" applyFont="1"/>
    <xf numFmtId="0" fontId="47" fillId="0" borderId="30" xfId="0" applyFont="1" applyBorder="1" applyAlignment="1">
      <alignment horizontal="center" vertical="center" wrapText="1"/>
    </xf>
    <xf numFmtId="42" fontId="48" fillId="0" borderId="3" xfId="1" applyNumberFormat="1" applyFont="1" applyBorder="1"/>
    <xf numFmtId="0" fontId="25" fillId="23" borderId="9" xfId="0" applyFont="1" applyFill="1" applyBorder="1" applyAlignment="1">
      <alignment horizontal="center" vertical="center" wrapText="1"/>
    </xf>
    <xf numFmtId="164" fontId="47" fillId="0" borderId="3" xfId="0" applyNumberFormat="1" applyFont="1" applyBorder="1" applyAlignment="1">
      <alignment horizontal="center"/>
    </xf>
    <xf numFmtId="9" fontId="48" fillId="0" borderId="4" xfId="3" applyFont="1" applyFill="1" applyBorder="1"/>
    <xf numFmtId="42" fontId="48" fillId="0" borderId="3" xfId="1" applyNumberFormat="1" applyFont="1" applyFill="1" applyBorder="1"/>
    <xf numFmtId="3" fontId="3" fillId="0" borderId="3" xfId="0" applyNumberFormat="1" applyFont="1" applyBorder="1"/>
    <xf numFmtId="0" fontId="23" fillId="12" borderId="3" xfId="0" applyFont="1" applyFill="1" applyBorder="1" applyAlignment="1">
      <alignment horizontal="center"/>
    </xf>
    <xf numFmtId="164" fontId="48" fillId="6" borderId="3" xfId="1" applyNumberFormat="1" applyFont="1" applyFill="1" applyBorder="1"/>
    <xf numFmtId="42" fontId="47" fillId="0" borderId="3" xfId="12" applyFont="1" applyFill="1" applyBorder="1"/>
    <xf numFmtId="0" fontId="9" fillId="14" borderId="8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9" fillId="14" borderId="2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 wrapText="1"/>
    </xf>
    <xf numFmtId="0" fontId="18" fillId="12" borderId="32" xfId="0" applyFont="1" applyFill="1" applyBorder="1" applyAlignment="1">
      <alignment horizontal="center" vertical="center" wrapText="1"/>
    </xf>
    <xf numFmtId="0" fontId="18" fillId="12" borderId="10" xfId="0" applyFont="1" applyFill="1" applyBorder="1" applyAlignment="1">
      <alignment horizontal="center" vertical="center" wrapText="1"/>
    </xf>
    <xf numFmtId="0" fontId="18" fillId="12" borderId="4" xfId="0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vertical="center" wrapText="1"/>
    </xf>
    <xf numFmtId="3" fontId="17" fillId="12" borderId="23" xfId="0" applyNumberFormat="1" applyFont="1" applyFill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10" fontId="18" fillId="25" borderId="33" xfId="0" applyNumberFormat="1" applyFont="1" applyFill="1" applyBorder="1" applyAlignment="1">
      <alignment horizontal="center" vertical="center"/>
    </xf>
    <xf numFmtId="10" fontId="18" fillId="25" borderId="33" xfId="0" applyNumberFormat="1" applyFont="1" applyFill="1" applyBorder="1" applyAlignment="1">
      <alignment horizontal="center" vertical="center" wrapText="1"/>
    </xf>
    <xf numFmtId="3" fontId="17" fillId="31" borderId="23" xfId="0" applyNumberFormat="1" applyFont="1" applyFill="1" applyBorder="1" applyAlignment="1">
      <alignment horizontal="center" vertical="center" wrapText="1"/>
    </xf>
    <xf numFmtId="0" fontId="18" fillId="31" borderId="4" xfId="0" applyFont="1" applyFill="1" applyBorder="1" applyAlignment="1">
      <alignment horizontal="center" vertical="center" wrapText="1"/>
    </xf>
    <xf numFmtId="0" fontId="17" fillId="31" borderId="4" xfId="0" applyFont="1" applyFill="1" applyBorder="1" applyAlignment="1">
      <alignment horizontal="center" vertical="center"/>
    </xf>
    <xf numFmtId="10" fontId="18" fillId="12" borderId="34" xfId="1" applyNumberFormat="1" applyFont="1" applyFill="1" applyBorder="1" applyAlignment="1">
      <alignment horizontal="center" vertical="center" wrapText="1"/>
    </xf>
    <xf numFmtId="9" fontId="18" fillId="12" borderId="34" xfId="1" applyNumberFormat="1" applyFont="1" applyFill="1" applyBorder="1" applyAlignment="1">
      <alignment horizontal="center" vertical="center"/>
    </xf>
    <xf numFmtId="0" fontId="23" fillId="10" borderId="3" xfId="0" applyFont="1" applyFill="1" applyBorder="1" applyAlignment="1">
      <alignment horizontal="center" wrapText="1"/>
    </xf>
    <xf numFmtId="0" fontId="24" fillId="15" borderId="3" xfId="0" applyFont="1" applyFill="1" applyBorder="1" applyAlignment="1">
      <alignment horizontal="center"/>
    </xf>
    <xf numFmtId="0" fontId="26" fillId="10" borderId="3" xfId="0" applyFont="1" applyFill="1" applyBorder="1" applyAlignment="1">
      <alignment horizontal="center"/>
    </xf>
    <xf numFmtId="0" fontId="24" fillId="2" borderId="3" xfId="0" applyFont="1" applyFill="1" applyBorder="1" applyAlignment="1">
      <alignment horizontal="left"/>
    </xf>
    <xf numFmtId="0" fontId="0" fillId="0" borderId="3" xfId="0" applyBorder="1"/>
    <xf numFmtId="0" fontId="51" fillId="12" borderId="3" xfId="0" applyFont="1" applyFill="1" applyBorder="1" applyAlignment="1">
      <alignment wrapText="1"/>
    </xf>
    <xf numFmtId="3" fontId="51" fillId="0" borderId="3" xfId="0" applyNumberFormat="1" applyFont="1" applyBorder="1" applyAlignment="1">
      <alignment horizontal="center" wrapText="1"/>
    </xf>
    <xf numFmtId="3" fontId="51" fillId="12" borderId="3" xfId="0" applyNumberFormat="1" applyFont="1" applyFill="1" applyBorder="1" applyAlignment="1">
      <alignment horizontal="center" wrapText="1"/>
    </xf>
    <xf numFmtId="0" fontId="39" fillId="0" borderId="3" xfId="0" applyFont="1" applyBorder="1" applyAlignment="1">
      <alignment wrapText="1"/>
    </xf>
    <xf numFmtId="0" fontId="35" fillId="10" borderId="3" xfId="0" applyFont="1" applyFill="1" applyBorder="1"/>
    <xf numFmtId="0" fontId="25" fillId="10" borderId="3" xfId="0" applyFont="1" applyFill="1" applyBorder="1" applyAlignment="1">
      <alignment horizontal="center"/>
    </xf>
    <xf numFmtId="3" fontId="25" fillId="10" borderId="3" xfId="0" applyNumberFormat="1" applyFont="1" applyFill="1" applyBorder="1" applyAlignment="1">
      <alignment horizontal="center"/>
    </xf>
    <xf numFmtId="3" fontId="52" fillId="10" borderId="3" xfId="0" applyNumberFormat="1" applyFont="1" applyFill="1" applyBorder="1" applyAlignment="1">
      <alignment horizontal="center"/>
    </xf>
    <xf numFmtId="3" fontId="13" fillId="0" borderId="4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 vertical="center" shrinkToFit="1"/>
    </xf>
    <xf numFmtId="3" fontId="13" fillId="0" borderId="3" xfId="0" applyNumberFormat="1" applyFont="1" applyBorder="1" applyAlignment="1">
      <alignment horizontal="center"/>
    </xf>
    <xf numFmtId="0" fontId="7" fillId="0" borderId="59" xfId="0" applyFont="1" applyBorder="1" applyAlignment="1">
      <alignment horizontal="left" vertical="top" wrapText="1"/>
    </xf>
    <xf numFmtId="0" fontId="23" fillId="9" borderId="3" xfId="0" applyFont="1" applyFill="1" applyBorder="1" applyAlignment="1">
      <alignment horizontal="center" vertical="center" wrapText="1"/>
    </xf>
    <xf numFmtId="0" fontId="23" fillId="10" borderId="3" xfId="0" applyFont="1" applyFill="1" applyBorder="1" applyAlignment="1">
      <alignment horizontal="center" vertical="center" wrapText="1"/>
    </xf>
    <xf numFmtId="0" fontId="23" fillId="11" borderId="3" xfId="0" applyFont="1" applyFill="1" applyBorder="1" applyAlignment="1">
      <alignment horizontal="center" vertical="center" wrapText="1"/>
    </xf>
    <xf numFmtId="0" fontId="48" fillId="0" borderId="3" xfId="0" applyFont="1" applyBorder="1" applyAlignment="1">
      <alignment horizontal="left" vertical="top" wrapText="1"/>
    </xf>
    <xf numFmtId="41" fontId="23" fillId="6" borderId="3" xfId="1" applyFont="1" applyFill="1" applyBorder="1" applyAlignment="1">
      <alignment horizontal="center" vertical="center"/>
    </xf>
    <xf numFmtId="3" fontId="48" fillId="0" borderId="3" xfId="0" applyNumberFormat="1" applyFont="1" applyBorder="1" applyAlignment="1">
      <alignment horizontal="center" vertical="center" wrapText="1"/>
    </xf>
    <xf numFmtId="3" fontId="15" fillId="12" borderId="3" xfId="0" applyNumberFormat="1" applyFont="1" applyFill="1" applyBorder="1" applyAlignment="1">
      <alignment horizontal="center" vertical="top" shrinkToFit="1"/>
    </xf>
    <xf numFmtId="0" fontId="7" fillId="0" borderId="57" xfId="0" applyFont="1" applyBorder="1" applyAlignment="1">
      <alignment horizontal="left" vertical="top" wrapText="1"/>
    </xf>
    <xf numFmtId="3" fontId="8" fillId="0" borderId="30" xfId="0" applyNumberFormat="1" applyFont="1" applyBorder="1" applyAlignment="1">
      <alignment horizontal="center" vertical="center" shrinkToFit="1"/>
    </xf>
    <xf numFmtId="3" fontId="0" fillId="0" borderId="0" xfId="0" applyNumberFormat="1" applyAlignment="1">
      <alignment horizontal="center"/>
    </xf>
    <xf numFmtId="0" fontId="5" fillId="7" borderId="41" xfId="0" applyFont="1" applyFill="1" applyBorder="1" applyAlignment="1">
      <alignment horizontal="left" vertical="top" wrapText="1"/>
    </xf>
    <xf numFmtId="3" fontId="5" fillId="7" borderId="30" xfId="2" applyNumberFormat="1" applyFont="1" applyFill="1" applyBorder="1" applyAlignment="1">
      <alignment horizontal="center" vertical="top" wrapText="1"/>
    </xf>
    <xf numFmtId="3" fontId="5" fillId="7" borderId="42" xfId="2" applyNumberFormat="1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5" fillId="32" borderId="3" xfId="2" applyNumberFormat="1" applyFont="1" applyFill="1" applyBorder="1" applyAlignment="1">
      <alignment horizontal="center" vertical="top" wrapText="1"/>
    </xf>
    <xf numFmtId="0" fontId="24" fillId="16" borderId="2" xfId="0" applyFont="1" applyFill="1" applyBorder="1" applyAlignment="1">
      <alignment horizontal="center" vertical="center"/>
    </xf>
    <xf numFmtId="0" fontId="24" fillId="16" borderId="3" xfId="0" applyFont="1" applyFill="1" applyBorder="1" applyAlignment="1">
      <alignment horizontal="center" vertical="center"/>
    </xf>
    <xf numFmtId="0" fontId="24" fillId="16" borderId="3" xfId="0" applyFont="1" applyFill="1" applyBorder="1" applyAlignment="1">
      <alignment horizontal="center" vertical="center" wrapText="1"/>
    </xf>
    <xf numFmtId="49" fontId="24" fillId="16" borderId="3" xfId="0" applyNumberFormat="1" applyFont="1" applyFill="1" applyBorder="1" applyAlignment="1">
      <alignment horizontal="center" vertical="center" wrapText="1"/>
    </xf>
    <xf numFmtId="0" fontId="24" fillId="33" borderId="2" xfId="0" applyFont="1" applyFill="1" applyBorder="1" applyAlignment="1">
      <alignment horizontal="center" vertical="center"/>
    </xf>
    <xf numFmtId="0" fontId="24" fillId="33" borderId="3" xfId="0" applyFont="1" applyFill="1" applyBorder="1" applyAlignment="1">
      <alignment horizontal="center" vertical="center"/>
    </xf>
    <xf numFmtId="0" fontId="24" fillId="33" borderId="3" xfId="0" applyFont="1" applyFill="1" applyBorder="1" applyAlignment="1">
      <alignment horizontal="center" vertical="center" wrapText="1"/>
    </xf>
    <xf numFmtId="49" fontId="24" fillId="33" borderId="3" xfId="0" applyNumberFormat="1" applyFont="1" applyFill="1" applyBorder="1" applyAlignment="1">
      <alignment horizontal="center" vertical="center" wrapText="1"/>
    </xf>
    <xf numFmtId="164" fontId="48" fillId="12" borderId="3" xfId="1" applyNumberFormat="1" applyFont="1" applyFill="1" applyBorder="1"/>
    <xf numFmtId="0" fontId="47" fillId="26" borderId="3" xfId="0" applyFont="1" applyFill="1" applyBorder="1"/>
    <xf numFmtId="164" fontId="47" fillId="0" borderId="3" xfId="12" applyNumberFormat="1" applyFont="1" applyBorder="1" applyAlignment="1">
      <alignment horizontal="center"/>
    </xf>
    <xf numFmtId="164" fontId="24" fillId="0" borderId="3" xfId="0" applyNumberFormat="1" applyFont="1" applyBorder="1" applyAlignment="1">
      <alignment horizontal="center" vertical="center"/>
    </xf>
    <xf numFmtId="17" fontId="25" fillId="34" borderId="8" xfId="0" applyNumberFormat="1" applyFont="1" applyFill="1" applyBorder="1" applyAlignment="1">
      <alignment horizontal="center"/>
    </xf>
    <xf numFmtId="0" fontId="25" fillId="34" borderId="9" xfId="0" applyFont="1" applyFill="1" applyBorder="1" applyAlignment="1">
      <alignment horizontal="center"/>
    </xf>
    <xf numFmtId="164" fontId="24" fillId="12" borderId="3" xfId="0" applyNumberFormat="1" applyFont="1" applyFill="1" applyBorder="1" applyAlignment="1">
      <alignment horizontal="center"/>
    </xf>
    <xf numFmtId="0" fontId="47" fillId="26" borderId="3" xfId="0" applyFont="1" applyFill="1" applyBorder="1" applyAlignment="1">
      <alignment horizontal="center"/>
    </xf>
    <xf numFmtId="0" fontId="47" fillId="26" borderId="5" xfId="0" applyFont="1" applyFill="1" applyBorder="1" applyAlignment="1">
      <alignment horizontal="center"/>
    </xf>
    <xf numFmtId="3" fontId="54" fillId="12" borderId="20" xfId="0" applyNumberFormat="1" applyFont="1" applyFill="1" applyBorder="1" applyAlignment="1">
      <alignment horizontal="center" vertical="top" shrinkToFit="1"/>
    </xf>
    <xf numFmtId="0" fontId="23" fillId="11" borderId="4" xfId="0" applyFont="1" applyFill="1" applyBorder="1" applyAlignment="1">
      <alignment horizontal="center" vertical="center" wrapText="1"/>
    </xf>
    <xf numFmtId="0" fontId="48" fillId="0" borderId="2" xfId="0" applyFont="1" applyBorder="1" applyAlignment="1">
      <alignment horizontal="left" vertical="top" wrapText="1"/>
    </xf>
    <xf numFmtId="3" fontId="48" fillId="0" borderId="4" xfId="0" applyNumberFormat="1" applyFont="1" applyBorder="1" applyAlignment="1">
      <alignment horizontal="center" vertical="center" wrapText="1"/>
    </xf>
    <xf numFmtId="41" fontId="23" fillId="6" borderId="4" xfId="1" applyFont="1" applyFill="1" applyBorder="1" applyAlignment="1">
      <alignment horizontal="center" vertical="center"/>
    </xf>
    <xf numFmtId="0" fontId="48" fillId="0" borderId="41" xfId="0" applyFont="1" applyBorder="1" applyAlignment="1">
      <alignment horizontal="left" vertical="top" wrapText="1"/>
    </xf>
    <xf numFmtId="0" fontId="48" fillId="0" borderId="30" xfId="0" applyFont="1" applyBorder="1" applyAlignment="1">
      <alignment horizontal="left" vertical="top" wrapText="1"/>
    </xf>
    <xf numFmtId="0" fontId="47" fillId="0" borderId="3" xfId="0" applyFont="1" applyBorder="1" applyAlignment="1">
      <alignment horizontal="left" vertical="center" wrapText="1"/>
    </xf>
    <xf numFmtId="0" fontId="47" fillId="0" borderId="3" xfId="0" applyFont="1" applyBorder="1" applyAlignment="1">
      <alignment horizontal="justify" vertical="center" wrapText="1"/>
    </xf>
    <xf numFmtId="0" fontId="23" fillId="14" borderId="3" xfId="0" applyFont="1" applyFill="1" applyBorder="1" applyAlignment="1">
      <alignment horizontal="center" vertical="center" wrapText="1"/>
    </xf>
    <xf numFmtId="0" fontId="23" fillId="15" borderId="3" xfId="0" applyFont="1" applyFill="1" applyBorder="1" applyAlignment="1">
      <alignment horizontal="center" vertical="center" wrapText="1"/>
    </xf>
    <xf numFmtId="1" fontId="55" fillId="0" borderId="3" xfId="0" applyNumberFormat="1" applyFont="1" applyBorder="1" applyAlignment="1">
      <alignment horizontal="center" vertical="top" shrinkToFit="1"/>
    </xf>
    <xf numFmtId="0" fontId="48" fillId="0" borderId="60" xfId="0" applyFont="1" applyBorder="1" applyAlignment="1">
      <alignment horizontal="left" vertical="top" wrapText="1"/>
    </xf>
    <xf numFmtId="1" fontId="47" fillId="0" borderId="3" xfId="0" applyNumberFormat="1" applyFont="1" applyBorder="1" applyAlignment="1">
      <alignment horizontal="center"/>
    </xf>
    <xf numFmtId="1" fontId="24" fillId="0" borderId="3" xfId="0" applyNumberFormat="1" applyFont="1" applyBorder="1" applyAlignment="1">
      <alignment horizont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3" fontId="16" fillId="9" borderId="3" xfId="0" applyNumberFormat="1" applyFont="1" applyFill="1" applyBorder="1" applyAlignment="1">
      <alignment horizontal="center"/>
    </xf>
    <xf numFmtId="0" fontId="16" fillId="9" borderId="3" xfId="0" applyFont="1" applyFill="1" applyBorder="1" applyAlignment="1">
      <alignment horizontal="center"/>
    </xf>
    <xf numFmtId="0" fontId="25" fillId="8" borderId="8" xfId="0" applyFont="1" applyFill="1" applyBorder="1" applyAlignment="1">
      <alignment horizontal="center" vertical="center" wrapText="1"/>
    </xf>
    <xf numFmtId="0" fontId="25" fillId="8" borderId="9" xfId="0" applyFont="1" applyFill="1" applyBorder="1" applyAlignment="1">
      <alignment horizontal="center" vertical="center" wrapText="1"/>
    </xf>
    <xf numFmtId="0" fontId="25" fillId="8" borderId="10" xfId="0" applyFont="1" applyFill="1" applyBorder="1" applyAlignment="1">
      <alignment horizontal="center" vertical="center" wrapText="1"/>
    </xf>
    <xf numFmtId="0" fontId="25" fillId="8" borderId="3" xfId="0" applyFont="1" applyFill="1" applyBorder="1" applyAlignment="1">
      <alignment horizontal="center" vertical="center" wrapText="1"/>
    </xf>
    <xf numFmtId="0" fontId="23" fillId="13" borderId="3" xfId="0" applyFont="1" applyFill="1" applyBorder="1" applyAlignment="1">
      <alignment horizontal="center" vertical="center" wrapText="1"/>
    </xf>
    <xf numFmtId="3" fontId="54" fillId="12" borderId="49" xfId="0" applyNumberFormat="1" applyFont="1" applyFill="1" applyBorder="1" applyAlignment="1">
      <alignment horizontal="center" vertical="top"/>
    </xf>
    <xf numFmtId="0" fontId="54" fillId="12" borderId="53" xfId="0" applyFont="1" applyFill="1" applyBorder="1" applyAlignment="1">
      <alignment horizontal="center" vertical="top"/>
    </xf>
    <xf numFmtId="0" fontId="23" fillId="12" borderId="44" xfId="0" applyFont="1" applyFill="1" applyBorder="1" applyAlignment="1">
      <alignment horizontal="center" vertical="center" wrapText="1"/>
    </xf>
    <xf numFmtId="0" fontId="23" fillId="12" borderId="63" xfId="0" applyFont="1" applyFill="1" applyBorder="1" applyAlignment="1">
      <alignment horizontal="center" vertical="center" wrapText="1"/>
    </xf>
    <xf numFmtId="0" fontId="23" fillId="12" borderId="64" xfId="0" applyFont="1" applyFill="1" applyBorder="1" applyAlignment="1">
      <alignment horizontal="center" vertical="center" wrapText="1"/>
    </xf>
    <xf numFmtId="0" fontId="23" fillId="12" borderId="14" xfId="0" applyFont="1" applyFill="1" applyBorder="1" applyAlignment="1">
      <alignment horizontal="center" vertical="center" wrapText="1"/>
    </xf>
    <xf numFmtId="0" fontId="23" fillId="12" borderId="16" xfId="0" applyFont="1" applyFill="1" applyBorder="1" applyAlignment="1">
      <alignment horizontal="center" vertical="center" wrapText="1"/>
    </xf>
    <xf numFmtId="0" fontId="23" fillId="12" borderId="17" xfId="0" applyFont="1" applyFill="1" applyBorder="1" applyAlignment="1">
      <alignment horizontal="center" vertical="center" wrapText="1"/>
    </xf>
    <xf numFmtId="3" fontId="16" fillId="29" borderId="16" xfId="0" applyNumberFormat="1" applyFont="1" applyFill="1" applyBorder="1" applyAlignment="1">
      <alignment horizontal="center"/>
    </xf>
    <xf numFmtId="0" fontId="16" fillId="29" borderId="17" xfId="0" applyFont="1" applyFill="1" applyBorder="1" applyAlignment="1">
      <alignment horizontal="center"/>
    </xf>
    <xf numFmtId="0" fontId="45" fillId="12" borderId="27" xfId="0" applyFont="1" applyFill="1" applyBorder="1" applyAlignment="1">
      <alignment horizontal="center"/>
    </xf>
    <xf numFmtId="0" fontId="45" fillId="12" borderId="29" xfId="0" applyFont="1" applyFill="1" applyBorder="1" applyAlignment="1">
      <alignment horizontal="center"/>
    </xf>
    <xf numFmtId="3" fontId="45" fillId="12" borderId="28" xfId="0" applyNumberFormat="1" applyFont="1" applyFill="1" applyBorder="1" applyAlignment="1">
      <alignment horizontal="center"/>
    </xf>
    <xf numFmtId="3" fontId="15" fillId="12" borderId="3" xfId="0" applyNumberFormat="1" applyFont="1" applyFill="1" applyBorder="1" applyAlignment="1">
      <alignment horizontal="center" vertical="top"/>
    </xf>
    <xf numFmtId="0" fontId="15" fillId="12" borderId="3" xfId="0" applyFont="1" applyFill="1" applyBorder="1" applyAlignment="1">
      <alignment horizontal="center" vertical="top"/>
    </xf>
    <xf numFmtId="0" fontId="16" fillId="13" borderId="32" xfId="0" applyFont="1" applyFill="1" applyBorder="1" applyAlignment="1">
      <alignment horizontal="center" vertical="center"/>
    </xf>
    <xf numFmtId="0" fontId="16" fillId="13" borderId="33" xfId="0" applyFont="1" applyFill="1" applyBorder="1" applyAlignment="1">
      <alignment horizontal="center" vertical="center"/>
    </xf>
    <xf numFmtId="0" fontId="16" fillId="13" borderId="34" xfId="0" applyFont="1" applyFill="1" applyBorder="1" applyAlignment="1">
      <alignment horizontal="center" vertical="center"/>
    </xf>
    <xf numFmtId="0" fontId="5" fillId="29" borderId="47" xfId="0" applyFont="1" applyFill="1" applyBorder="1" applyAlignment="1">
      <alignment horizontal="right" vertical="center" wrapText="1"/>
    </xf>
    <xf numFmtId="0" fontId="5" fillId="29" borderId="23" xfId="0" applyFont="1" applyFill="1" applyBorder="1" applyAlignment="1">
      <alignment horizontal="right" vertical="center" wrapText="1"/>
    </xf>
    <xf numFmtId="0" fontId="5" fillId="29" borderId="5" xfId="0" applyFont="1" applyFill="1" applyBorder="1" applyAlignment="1">
      <alignment horizontal="right" vertical="center" wrapText="1"/>
    </xf>
    <xf numFmtId="0" fontId="5" fillId="29" borderId="7" xfId="0" applyFont="1" applyFill="1" applyBorder="1" applyAlignment="1">
      <alignment horizontal="right" vertical="center" wrapText="1"/>
    </xf>
    <xf numFmtId="0" fontId="5" fillId="12" borderId="65" xfId="0" applyFont="1" applyFill="1" applyBorder="1" applyAlignment="1">
      <alignment horizontal="center" vertical="center" wrapText="1"/>
    </xf>
    <xf numFmtId="0" fontId="5" fillId="12" borderId="63" xfId="0" applyFont="1" applyFill="1" applyBorder="1" applyAlignment="1">
      <alignment horizontal="center" vertical="center" wrapText="1"/>
    </xf>
    <xf numFmtId="0" fontId="5" fillId="12" borderId="57" xfId="0" applyFont="1" applyFill="1" applyBorder="1" applyAlignment="1">
      <alignment horizontal="center" vertical="center" wrapText="1"/>
    </xf>
    <xf numFmtId="0" fontId="5" fillId="12" borderId="66" xfId="0" applyFont="1" applyFill="1" applyBorder="1" applyAlignment="1">
      <alignment horizontal="center" vertical="center" wrapText="1"/>
    </xf>
    <xf numFmtId="0" fontId="5" fillId="12" borderId="67" xfId="0" applyFont="1" applyFill="1" applyBorder="1" applyAlignment="1">
      <alignment horizontal="center" vertical="center" wrapText="1"/>
    </xf>
    <xf numFmtId="0" fontId="5" fillId="12" borderId="54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12" borderId="3" xfId="0" applyFont="1" applyFill="1" applyBorder="1" applyAlignment="1">
      <alignment horizontal="center"/>
    </xf>
    <xf numFmtId="0" fontId="23" fillId="13" borderId="2" xfId="0" applyFont="1" applyFill="1" applyBorder="1" applyAlignment="1">
      <alignment horizontal="center" vertical="center" wrapText="1"/>
    </xf>
    <xf numFmtId="0" fontId="14" fillId="16" borderId="62" xfId="0" applyFont="1" applyFill="1" applyBorder="1" applyAlignment="1">
      <alignment horizontal="center" vertical="center"/>
    </xf>
    <xf numFmtId="0" fontId="14" fillId="16" borderId="0" xfId="0" applyFont="1" applyFill="1" applyAlignment="1">
      <alignment horizontal="center" vertical="center"/>
    </xf>
    <xf numFmtId="0" fontId="19" fillId="16" borderId="38" xfId="0" applyFont="1" applyFill="1" applyBorder="1" applyAlignment="1">
      <alignment horizontal="center" vertical="center"/>
    </xf>
    <xf numFmtId="0" fontId="19" fillId="16" borderId="48" xfId="0" applyFont="1" applyFill="1" applyBorder="1" applyAlignment="1">
      <alignment horizontal="center" vertical="center"/>
    </xf>
    <xf numFmtId="0" fontId="19" fillId="16" borderId="39" xfId="0" applyFont="1" applyFill="1" applyBorder="1" applyAlignment="1">
      <alignment horizontal="center" vertical="center"/>
    </xf>
    <xf numFmtId="0" fontId="18" fillId="12" borderId="3" xfId="0" applyFont="1" applyFill="1" applyBorder="1" applyAlignment="1">
      <alignment horizontal="center"/>
    </xf>
    <xf numFmtId="0" fontId="18" fillId="11" borderId="3" xfId="0" applyFont="1" applyFill="1" applyBorder="1" applyAlignment="1">
      <alignment horizontal="center" vertical="center" wrapText="1"/>
    </xf>
    <xf numFmtId="17" fontId="32" fillId="20" borderId="27" xfId="0" applyNumberFormat="1" applyFont="1" applyFill="1" applyBorder="1" applyAlignment="1">
      <alignment horizontal="center" vertical="center" wrapText="1"/>
    </xf>
    <xf numFmtId="0" fontId="32" fillId="20" borderId="28" xfId="0" applyFont="1" applyFill="1" applyBorder="1" applyAlignment="1">
      <alignment horizontal="center" vertical="center" wrapText="1"/>
    </xf>
    <xf numFmtId="0" fontId="32" fillId="20" borderId="29" xfId="0" applyFont="1" applyFill="1" applyBorder="1" applyAlignment="1">
      <alignment horizontal="center" vertical="center" wrapText="1"/>
    </xf>
    <xf numFmtId="0" fontId="36" fillId="12" borderId="13" xfId="0" applyFont="1" applyFill="1" applyBorder="1" applyAlignment="1">
      <alignment horizontal="center" vertical="center" wrapText="1"/>
    </xf>
    <xf numFmtId="0" fontId="36" fillId="1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26" fillId="11" borderId="1" xfId="0" applyFont="1" applyFill="1" applyBorder="1" applyAlignment="1">
      <alignment horizontal="center" vertical="center" wrapText="1"/>
    </xf>
    <xf numFmtId="0" fontId="26" fillId="11" borderId="45" xfId="0" applyFont="1" applyFill="1" applyBorder="1" applyAlignment="1">
      <alignment horizontal="center" vertical="center" wrapText="1"/>
    </xf>
    <xf numFmtId="0" fontId="26" fillId="11" borderId="46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4" fillId="16" borderId="19" xfId="0" applyFont="1" applyFill="1" applyBorder="1" applyAlignment="1">
      <alignment horizontal="center" vertical="center"/>
    </xf>
    <xf numFmtId="0" fontId="14" fillId="16" borderId="20" xfId="0" applyFont="1" applyFill="1" applyBorder="1" applyAlignment="1">
      <alignment horizontal="center" vertical="center"/>
    </xf>
    <xf numFmtId="0" fontId="18" fillId="11" borderId="8" xfId="0" applyFont="1" applyFill="1" applyBorder="1" applyAlignment="1">
      <alignment horizontal="center"/>
    </xf>
    <xf numFmtId="0" fontId="18" fillId="11" borderId="9" xfId="0" applyFont="1" applyFill="1" applyBorder="1" applyAlignment="1">
      <alignment horizontal="center"/>
    </xf>
    <xf numFmtId="0" fontId="18" fillId="11" borderId="10" xfId="0" applyFont="1" applyFill="1" applyBorder="1" applyAlignment="1">
      <alignment horizontal="center" vertical="center" wrapText="1"/>
    </xf>
    <xf numFmtId="0" fontId="18" fillId="11" borderId="7" xfId="0" applyFont="1" applyFill="1" applyBorder="1" applyAlignment="1">
      <alignment horizontal="center" vertical="center" wrapText="1"/>
    </xf>
    <xf numFmtId="0" fontId="26" fillId="11" borderId="14" xfId="0" applyFont="1" applyFill="1" applyBorder="1" applyAlignment="1">
      <alignment horizontal="center" vertical="center"/>
    </xf>
    <xf numFmtId="0" fontId="26" fillId="11" borderId="16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5" fillId="35" borderId="25" xfId="0" applyFont="1" applyFill="1" applyBorder="1" applyAlignment="1">
      <alignment horizontal="center"/>
    </xf>
    <xf numFmtId="0" fontId="35" fillId="35" borderId="36" xfId="0" applyFont="1" applyFill="1" applyBorder="1" applyAlignment="1">
      <alignment horizontal="center"/>
    </xf>
    <xf numFmtId="0" fontId="35" fillId="35" borderId="43" xfId="0" applyFont="1" applyFill="1" applyBorder="1" applyAlignment="1">
      <alignment horizontal="center"/>
    </xf>
    <xf numFmtId="0" fontId="2" fillId="8" borderId="11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3" fillId="17" borderId="27" xfId="0" applyFont="1" applyFill="1" applyBorder="1" applyAlignment="1">
      <alignment horizontal="center"/>
    </xf>
    <xf numFmtId="0" fontId="3" fillId="17" borderId="28" xfId="0" applyFont="1" applyFill="1" applyBorder="1" applyAlignment="1">
      <alignment horizontal="center"/>
    </xf>
    <xf numFmtId="0" fontId="3" fillId="17" borderId="29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5" fillId="8" borderId="11" xfId="0" applyFont="1" applyFill="1" applyBorder="1" applyAlignment="1">
      <alignment horizontal="center" vertical="center" wrapText="1"/>
    </xf>
    <xf numFmtId="0" fontId="35" fillId="8" borderId="13" xfId="0" applyFont="1" applyFill="1" applyBorder="1" applyAlignment="1">
      <alignment horizontal="center" vertical="center" wrapText="1"/>
    </xf>
    <xf numFmtId="0" fontId="39" fillId="0" borderId="26" xfId="0" applyFont="1" applyBorder="1" applyAlignment="1">
      <alignment horizontal="center" wrapText="1"/>
    </xf>
    <xf numFmtId="0" fontId="39" fillId="0" borderId="35" xfId="0" applyFont="1" applyBorder="1" applyAlignment="1">
      <alignment horizontal="center" wrapText="1"/>
    </xf>
    <xf numFmtId="3" fontId="19" fillId="28" borderId="24" xfId="0" applyNumberFormat="1" applyFont="1" applyFill="1" applyBorder="1" applyAlignment="1">
      <alignment horizontal="center"/>
    </xf>
    <xf numFmtId="3" fontId="19" fillId="28" borderId="36" xfId="0" applyNumberFormat="1" applyFont="1" applyFill="1" applyBorder="1" applyAlignment="1">
      <alignment horizontal="center"/>
    </xf>
    <xf numFmtId="3" fontId="24" fillId="25" borderId="24" xfId="0" applyNumberFormat="1" applyFont="1" applyFill="1" applyBorder="1" applyAlignment="1">
      <alignment horizontal="center"/>
    </xf>
    <xf numFmtId="3" fontId="24" fillId="25" borderId="36" xfId="0" applyNumberFormat="1" applyFont="1" applyFill="1" applyBorder="1" applyAlignment="1">
      <alignment horizontal="center"/>
    </xf>
    <xf numFmtId="0" fontId="35" fillId="24" borderId="27" xfId="0" applyFont="1" applyFill="1" applyBorder="1" applyAlignment="1">
      <alignment horizontal="center"/>
    </xf>
    <xf numFmtId="0" fontId="35" fillId="24" borderId="28" xfId="0" applyFont="1" applyFill="1" applyBorder="1" applyAlignment="1">
      <alignment horizontal="center"/>
    </xf>
    <xf numFmtId="0" fontId="35" fillId="24" borderId="29" xfId="0" applyFont="1" applyFill="1" applyBorder="1" applyAlignment="1">
      <alignment horizontal="center"/>
    </xf>
    <xf numFmtId="0" fontId="2" fillId="27" borderId="27" xfId="0" applyFont="1" applyFill="1" applyBorder="1" applyAlignment="1">
      <alignment horizontal="center"/>
    </xf>
    <xf numFmtId="0" fontId="2" fillId="27" borderId="28" xfId="0" applyFont="1" applyFill="1" applyBorder="1" applyAlignment="1">
      <alignment horizontal="center"/>
    </xf>
    <xf numFmtId="0" fontId="2" fillId="27" borderId="29" xfId="0" applyFont="1" applyFill="1" applyBorder="1" applyAlignment="1">
      <alignment horizontal="center"/>
    </xf>
    <xf numFmtId="0" fontId="39" fillId="0" borderId="26" xfId="0" applyFont="1" applyBorder="1" applyAlignment="1">
      <alignment horizontal="center" vertical="center" wrapText="1"/>
    </xf>
    <xf numFmtId="0" fontId="39" fillId="0" borderId="35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wrapText="1"/>
    </xf>
    <xf numFmtId="3" fontId="19" fillId="28" borderId="25" xfId="0" applyNumberFormat="1" applyFont="1" applyFill="1" applyBorder="1" applyAlignment="1">
      <alignment horizontal="center"/>
    </xf>
    <xf numFmtId="0" fontId="35" fillId="10" borderId="25" xfId="0" applyFont="1" applyFill="1" applyBorder="1" applyAlignment="1">
      <alignment horizontal="center"/>
    </xf>
    <xf numFmtId="0" fontId="35" fillId="10" borderId="36" xfId="0" applyFont="1" applyFill="1" applyBorder="1" applyAlignment="1">
      <alignment horizontal="center"/>
    </xf>
    <xf numFmtId="0" fontId="35" fillId="10" borderId="43" xfId="0" applyFont="1" applyFill="1" applyBorder="1" applyAlignment="1">
      <alignment horizontal="center"/>
    </xf>
    <xf numFmtId="3" fontId="18" fillId="2" borderId="25" xfId="0" applyNumberFormat="1" applyFont="1" applyFill="1" applyBorder="1" applyAlignment="1">
      <alignment horizontal="center"/>
    </xf>
    <xf numFmtId="3" fontId="18" fillId="2" borderId="36" xfId="0" applyNumberFormat="1" applyFont="1" applyFill="1" applyBorder="1" applyAlignment="1">
      <alignment horizontal="center"/>
    </xf>
    <xf numFmtId="3" fontId="18" fillId="2" borderId="43" xfId="0" applyNumberFormat="1" applyFont="1" applyFill="1" applyBorder="1" applyAlignment="1">
      <alignment horizontal="center"/>
    </xf>
    <xf numFmtId="0" fontId="24" fillId="0" borderId="3" xfId="0" applyFont="1" applyBorder="1" applyAlignment="1">
      <alignment horizontal="center" vertical="center"/>
    </xf>
    <xf numFmtId="0" fontId="14" fillId="16" borderId="11" xfId="0" applyFont="1" applyFill="1" applyBorder="1" applyAlignment="1">
      <alignment horizontal="center" vertical="center"/>
    </xf>
    <xf numFmtId="0" fontId="14" fillId="16" borderId="12" xfId="0" applyFont="1" applyFill="1" applyBorder="1" applyAlignment="1">
      <alignment horizontal="center" vertical="center"/>
    </xf>
    <xf numFmtId="0" fontId="14" fillId="16" borderId="13" xfId="0" applyFont="1" applyFill="1" applyBorder="1" applyAlignment="1">
      <alignment horizontal="center" vertical="center"/>
    </xf>
    <xf numFmtId="0" fontId="50" fillId="0" borderId="30" xfId="0" applyFont="1" applyBorder="1" applyAlignment="1">
      <alignment horizontal="center" vertical="center" wrapText="1"/>
    </xf>
    <xf numFmtId="0" fontId="50" fillId="0" borderId="31" xfId="0" applyFont="1" applyBorder="1" applyAlignment="1">
      <alignment horizontal="center" vertical="center" wrapText="1"/>
    </xf>
    <xf numFmtId="0" fontId="14" fillId="16" borderId="3" xfId="0" applyFont="1" applyFill="1" applyBorder="1" applyAlignment="1">
      <alignment horizontal="center" vertical="center"/>
    </xf>
    <xf numFmtId="0" fontId="50" fillId="0" borderId="3" xfId="0" applyFont="1" applyBorder="1" applyAlignment="1">
      <alignment horizontal="center" vertical="center" wrapText="1"/>
    </xf>
    <xf numFmtId="0" fontId="14" fillId="33" borderId="11" xfId="0" applyFont="1" applyFill="1" applyBorder="1" applyAlignment="1">
      <alignment horizontal="center" vertical="center"/>
    </xf>
    <xf numFmtId="0" fontId="14" fillId="33" borderId="12" xfId="0" applyFont="1" applyFill="1" applyBorder="1" applyAlignment="1">
      <alignment horizontal="center" vertical="center"/>
    </xf>
    <xf numFmtId="0" fontId="14" fillId="33" borderId="13" xfId="0" applyFont="1" applyFill="1" applyBorder="1" applyAlignment="1">
      <alignment horizontal="center" vertical="center"/>
    </xf>
    <xf numFmtId="0" fontId="14" fillId="33" borderId="3" xfId="0" applyFont="1" applyFill="1" applyBorder="1" applyAlignment="1">
      <alignment horizontal="center" vertical="center"/>
    </xf>
  </cellXfs>
  <cellStyles count="18">
    <cellStyle name="EstiloLabel" xfId="15" xr:uid="{00000000-0005-0000-0000-000000000000}"/>
    <cellStyle name="Millares [0]" xfId="1" builtinId="6"/>
    <cellStyle name="Millares [0] 2" xfId="4" xr:uid="{00000000-0005-0000-0000-000002000000}"/>
    <cellStyle name="Millares [0] 3" xfId="6" xr:uid="{00000000-0005-0000-0000-000003000000}"/>
    <cellStyle name="Millares [0] 4" xfId="13" xr:uid="{00000000-0005-0000-0000-000004000000}"/>
    <cellStyle name="Moneda" xfId="2" builtinId="4"/>
    <cellStyle name="Moneda [0]" xfId="12" builtinId="7"/>
    <cellStyle name="Moneda [0] 2" xfId="8" xr:uid="{00000000-0005-0000-0000-000007000000}"/>
    <cellStyle name="Moneda 2" xfId="5" xr:uid="{00000000-0005-0000-0000-000008000000}"/>
    <cellStyle name="Moneda 3" xfId="7" xr:uid="{00000000-0005-0000-0000-000009000000}"/>
    <cellStyle name="Moneda 4" xfId="9" xr:uid="{00000000-0005-0000-0000-00000A000000}"/>
    <cellStyle name="Moneda 5" xfId="10" xr:uid="{00000000-0005-0000-0000-00000B000000}"/>
    <cellStyle name="Moneda 6" xfId="11" xr:uid="{00000000-0005-0000-0000-00000C000000}"/>
    <cellStyle name="Moneda 7" xfId="14" xr:uid="{00000000-0005-0000-0000-00000D000000}"/>
    <cellStyle name="Normal" xfId="0" builtinId="0"/>
    <cellStyle name="Normal 10" xfId="17" xr:uid="{738589EF-8101-47E6-9BA6-A7C3263D5B8F}"/>
    <cellStyle name="Porcentaje" xfId="3" builtinId="5"/>
    <cellStyle name="SinEstilo" xfId="16" xr:uid="{00000000-0005-0000-0000-000010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PASAJEROS NACIONALES LLEGADOS POR AEROLINEA</a:t>
            </a:r>
            <a:endParaRPr lang="es-CO"/>
          </a:p>
        </c:rich>
      </c:tx>
      <c:layout>
        <c:manualLayout>
          <c:xMode val="edge"/>
          <c:yMode val="edge"/>
          <c:x val="9.905603917596531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983852787819634E-2"/>
          <c:y val="0.2778021859020805"/>
          <c:w val="0.94542636191892948"/>
          <c:h val="0.68898858855384559"/>
        </c:manualLayout>
      </c:layout>
      <c:pie3D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D9FB-4506-BB64-732320B560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D9FB-4506-BB64-732320B560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D9FB-4506-BB64-732320B560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D9FB-4506-BB64-732320B560F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1EC2-4E62-86DF-A3783804FA7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A2D8-49A6-80D3-8E1A107A758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C-A2D8-49A6-80D3-8E1A107A758C}"/>
              </c:ext>
            </c:extLst>
          </c:dPt>
          <c:dLbls>
            <c:dLbl>
              <c:idx val="0"/>
              <c:layout>
                <c:manualLayout>
                  <c:x val="-5.2813928267800792E-2"/>
                  <c:y val="0.16514387683298076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  <a:miter lim="800000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D9FB-4506-BB64-732320B560FE}"/>
                </c:ext>
              </c:extLst>
            </c:dLbl>
            <c:dLbl>
              <c:idx val="1"/>
              <c:layout>
                <c:manualLayout>
                  <c:x val="2.7555093009287369E-2"/>
                  <c:y val="0.17326570684116033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  <a:miter lim="800000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D9FB-4506-BB64-732320B560FE}"/>
                </c:ext>
              </c:extLst>
            </c:dLbl>
            <c:dLbl>
              <c:idx val="2"/>
              <c:layout>
                <c:manualLayout>
                  <c:x val="-1.3777546504643684E-2"/>
                  <c:y val="-2.9780043363324415E-2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  <a:miter lim="800000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D9FB-4506-BB64-732320B560FE}"/>
                </c:ext>
              </c:extLst>
            </c:dLbl>
            <c:dLbl>
              <c:idx val="3"/>
              <c:layout>
                <c:manualLayout>
                  <c:x val="-0.14007172279721078"/>
                  <c:y val="-4.0609150040896956E-2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  <a:miter lim="800000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D9FB-4506-BB64-732320B560FE}"/>
                </c:ext>
              </c:extLst>
            </c:dLbl>
            <c:dLbl>
              <c:idx val="4"/>
              <c:layout>
                <c:manualLayout>
                  <c:x val="9.8739083283279655E-2"/>
                  <c:y val="-2.9780043363324415E-2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  <a:miter lim="800000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1EC2-4E62-86DF-A3783804FA77}"/>
                </c:ext>
              </c:extLst>
            </c:dLbl>
            <c:dLbl>
              <c:idx val="5"/>
              <c:layout>
                <c:manualLayout>
                  <c:x val="0.26636589908977781"/>
                  <c:y val="-8.121830008179386E-3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  <a:miter lim="800000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A2D8-49A6-80D3-8E1A107A758C}"/>
                </c:ext>
              </c:extLst>
            </c:dLbl>
            <c:dLbl>
              <c:idx val="6"/>
              <c:layout>
                <c:manualLayout>
                  <c:x val="-5.7406443769348683E-2"/>
                  <c:y val="-6.2267363396041962E-2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  <a:miter lim="800000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C-A2D8-49A6-80D3-8E1A107A758C}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rgbClr val="70AD47"/>
                </a:solidFill>
                <a:miter lim="800000"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'ESTADISTICAS AEROLINEAS '!$B$52:$B$58</c:f>
              <c:strCache>
                <c:ptCount val="7"/>
                <c:pt idx="0">
                  <c:v>AVIANCA</c:v>
                </c:pt>
                <c:pt idx="1">
                  <c:v>LATAM</c:v>
                </c:pt>
                <c:pt idx="2">
                  <c:v>JETSMART</c:v>
                </c:pt>
                <c:pt idx="3">
                  <c:v>CLIC</c:v>
                </c:pt>
                <c:pt idx="4">
                  <c:v>AVIACIÓN GENERAL</c:v>
                </c:pt>
                <c:pt idx="5">
                  <c:v>AVIACIÓN ESTATAL</c:v>
                </c:pt>
                <c:pt idx="6">
                  <c:v>COPA</c:v>
                </c:pt>
              </c:strCache>
            </c:strRef>
          </c:cat>
          <c:val>
            <c:numRef>
              <c:f>'ESTADISTICAS AEROLINEAS '!$C$52:$C$58</c:f>
              <c:numCache>
                <c:formatCode>#,##0</c:formatCode>
                <c:ptCount val="7"/>
                <c:pt idx="0">
                  <c:v>57970</c:v>
                </c:pt>
                <c:pt idx="1">
                  <c:v>18179</c:v>
                </c:pt>
                <c:pt idx="2">
                  <c:v>17897</c:v>
                </c:pt>
                <c:pt idx="3">
                  <c:v>3296</c:v>
                </c:pt>
                <c:pt idx="4">
                  <c:v>72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FB-4506-BB64-732320B560FE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PASAJEROS INTERNACIONALES POR PROCEDENCIA</a:t>
            </a:r>
            <a:endParaRPr lang="es-CO"/>
          </a:p>
        </c:rich>
      </c:tx>
      <c:layout>
        <c:manualLayout>
          <c:xMode val="edge"/>
          <c:yMode val="edge"/>
          <c:x val="0.18373964087034286"/>
          <c:y val="4.7642304580642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'DESTINO Y PROCE '!$C$46</c:f>
              <c:strCache>
                <c:ptCount val="1"/>
                <c:pt idx="0">
                  <c:v>PAX. INTERNACIONALES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23C7-49DF-9B7C-4C6821D68E86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6F60-41B2-92C6-986EE668085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1B6F-41F7-A14B-D572E54570F5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B0BDF32-EF81-4EDC-B721-ABA4843EE49C}" type="CATEGORYNAME">
                      <a:rPr lang="en-US" sz="1100" b="1">
                        <a:solidFill>
                          <a:sysClr val="windowText" lastClr="000000"/>
                        </a:solidFill>
                      </a:rPr>
                      <a:pPr>
                        <a:defRPr/>
                      </a:pPr>
                      <a:t>[NOMBRE DE CATEGORÍA]</a:t>
                    </a:fld>
                    <a:r>
                      <a:rPr lang="en-US" sz="1100" b="1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46BD8344-691E-4DDE-B7A8-23B4FC52BB7E}" type="PERCENTAGE">
                      <a:rPr lang="en-US" sz="1100" b="1" baseline="0">
                        <a:solidFill>
                          <a:sysClr val="windowText" lastClr="000000"/>
                        </a:solidFill>
                      </a:rPr>
                      <a:pPr>
                        <a:defRPr/>
                      </a:pPr>
                      <a:t>[PORCENTAJE]</a:t>
                    </a:fld>
                    <a:endParaRPr lang="en-US" sz="11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3C7-49DF-9B7C-4C6821D68E86}"/>
                </c:ext>
              </c:extLst>
            </c:dLbl>
            <c:dLbl>
              <c:idx val="1"/>
              <c:layout>
                <c:manualLayout>
                  <c:x val="0.17641528294757181"/>
                  <c:y val="1.772305370169002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7CB49FF-A8E7-42A1-8EF8-55B67E68F0E2}" type="CATEGORYNAME">
                      <a:rPr lang="en-US">
                        <a:solidFill>
                          <a:schemeClr val="accent1">
                            <a:lumMod val="40000"/>
                            <a:lumOff val="60000"/>
                          </a:schemeClr>
                        </a:solidFill>
                      </a:rPr>
                      <a:pPr>
                        <a:defRPr>
                          <a:solidFill>
                            <a:schemeClr val="accent2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chemeClr val="accent1">
                            <a:lumMod val="40000"/>
                            <a:lumOff val="60000"/>
                          </a:schemeClr>
                        </a:solidFill>
                      </a:rPr>
                      <a:t>
</a:t>
                    </a:r>
                    <a:fld id="{60D2A9B9-133E-4862-9D58-47EC5A95F7A5}" type="PERCENTAGE">
                      <a:rPr lang="en-US" baseline="0">
                        <a:solidFill>
                          <a:schemeClr val="accent1">
                            <a:lumMod val="40000"/>
                            <a:lumOff val="60000"/>
                          </a:schemeClr>
                        </a:solidFill>
                      </a:rPr>
                      <a:pPr>
                        <a:defRPr>
                          <a:solidFill>
                            <a:schemeClr val="accent2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chemeClr val="accent1">
                          <a:lumMod val="40000"/>
                          <a:lumOff val="60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6F60-41B2-92C6-986EE668085A}"/>
                </c:ext>
              </c:extLst>
            </c:dLbl>
            <c:dLbl>
              <c:idx val="2"/>
              <c:layout>
                <c:manualLayout>
                  <c:x val="-0.34724780377654957"/>
                  <c:y val="3.19014966630420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8275524344446"/>
                      <c:h val="0.110609717703851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1B6F-41F7-A14B-D572E54570F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'DESTINO Y PROCE '!$B$47:$B$49</c:f>
              <c:strCache>
                <c:ptCount val="3"/>
                <c:pt idx="0">
                  <c:v>PANAMA</c:v>
                </c:pt>
                <c:pt idx="1">
                  <c:v>NEW YORK</c:v>
                </c:pt>
                <c:pt idx="2">
                  <c:v>OTROS DESTINOS</c:v>
                </c:pt>
              </c:strCache>
            </c:strRef>
          </c:cat>
          <c:val>
            <c:numRef>
              <c:f>'DESTINO Y PROCE '!$C$47:$C$49</c:f>
              <c:numCache>
                <c:formatCode>#,##0</c:formatCode>
                <c:ptCount val="3"/>
                <c:pt idx="0">
                  <c:v>9082</c:v>
                </c:pt>
                <c:pt idx="1">
                  <c:v>0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C7-49DF-9B7C-4C6821D68E8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OPERACIONES COMERCIALES NACIONALES E INTERNACIONALES POR DESTINO Y PROCEDENCIA</a:t>
            </a:r>
            <a:endParaRPr lang="es-CO" sz="1200" b="1"/>
          </a:p>
        </c:rich>
      </c:tx>
      <c:layout>
        <c:manualLayout>
          <c:xMode val="edge"/>
          <c:yMode val="edge"/>
          <c:x val="0.14618615554646808"/>
          <c:y val="2.067088832939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9881984635042175"/>
          <c:y val="0.13770846912169779"/>
          <c:w val="0.67612349872780753"/>
          <c:h val="0.687547232977173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'DESTINO Y PROCE '!$B$153:$B$159</c:f>
              <c:strCache>
                <c:ptCount val="7"/>
                <c:pt idx="0">
                  <c:v>AVIANCA</c:v>
                </c:pt>
                <c:pt idx="1">
                  <c:v>LATAM</c:v>
                </c:pt>
                <c:pt idx="2">
                  <c:v>CLIC</c:v>
                </c:pt>
                <c:pt idx="3">
                  <c:v>JETSMART</c:v>
                </c:pt>
                <c:pt idx="4">
                  <c:v>COPA</c:v>
                </c:pt>
                <c:pt idx="5">
                  <c:v>GENERAL</c:v>
                </c:pt>
                <c:pt idx="6">
                  <c:v>ESTATAL</c:v>
                </c:pt>
              </c:strCache>
            </c:strRef>
          </c:cat>
          <c:val>
            <c:numRef>
              <c:f>'DESTINO Y PROCE '!$C$153:$C$159</c:f>
              <c:numCache>
                <c:formatCode>#,##0</c:formatCode>
                <c:ptCount val="7"/>
                <c:pt idx="0">
                  <c:v>796</c:v>
                </c:pt>
                <c:pt idx="1">
                  <c:v>302</c:v>
                </c:pt>
                <c:pt idx="2">
                  <c:v>362</c:v>
                </c:pt>
                <c:pt idx="3">
                  <c:v>220</c:v>
                </c:pt>
                <c:pt idx="4">
                  <c:v>128</c:v>
                </c:pt>
                <c:pt idx="5">
                  <c:v>414</c:v>
                </c:pt>
                <c:pt idx="6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B6-4F2B-A6DC-DAB8752D7B7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75716464"/>
        <c:axId val="575717448"/>
      </c:barChart>
      <c:catAx>
        <c:axId val="57571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5717448"/>
        <c:crosses val="autoZero"/>
        <c:auto val="1"/>
        <c:lblAlgn val="ctr"/>
        <c:lblOffset val="100"/>
        <c:noMultiLvlLbl val="0"/>
      </c:catAx>
      <c:valAx>
        <c:axId val="575717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57164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900" b="1" i="0" baseline="0">
                <a:solidFill>
                  <a:sysClr val="windowText" lastClr="000000"/>
                </a:solidFill>
                <a:effectLst/>
              </a:rPr>
              <a:t>OPERACIONES COMERCIALES NACIONALES E INTERNACIONALES POR DESTINO Y PROCEDENCIA DICIEMBRE 2025</a:t>
            </a:r>
            <a:endParaRPr lang="es-CO" sz="9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14299060488365109"/>
          <c:y val="1.8987286351916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5038347535868261"/>
          <c:y val="0.12203538245057878"/>
          <c:w val="0.56071372751880033"/>
          <c:h val="0.77642149285358464"/>
        </c:manualLayout>
      </c:layout>
      <c:pieChart>
        <c:varyColors val="1"/>
        <c:ser>
          <c:idx val="0"/>
          <c:order val="0"/>
          <c:tx>
            <c:strRef>
              <c:f>'DESTINO Y PROCE '!$C$152</c:f>
              <c:strCache>
                <c:ptCount val="1"/>
                <c:pt idx="0">
                  <c:v>DESTINO Y PROCEDENCIA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1B3-45E1-998E-FDC4FE910CC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1B3-45E1-998E-FDC4FE910CC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1B3-45E1-998E-FDC4FE910CC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1B3-45E1-998E-FDC4FE910CC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1B3-45E1-998E-FDC4FE910CC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568-4A54-BD26-7A0A85DA4CC3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568-4A54-BD26-7A0A85DA4CC3}"/>
              </c:ext>
            </c:extLst>
          </c:dPt>
          <c:dLbls>
            <c:dLbl>
              <c:idx val="0"/>
              <c:layout>
                <c:manualLayout>
                  <c:x val="-0.18207986853256317"/>
                  <c:y val="-5.7813933341230077E-2"/>
                </c:manualLayout>
              </c:layout>
              <c:tx>
                <c:rich>
                  <a:bodyPr/>
                  <a:lstStyle/>
                  <a:p>
                    <a:fld id="{25C18FAE-FB2D-4A71-8826-1DEF263C9D3E}" type="CATEGORYNAME">
                      <a:rPr lang="en-US" sz="1200" b="1">
                        <a:solidFill>
                          <a:sysClr val="windowText" lastClr="000000"/>
                        </a:solidFill>
                      </a:rPr>
                      <a:pPr/>
                      <a:t>[NOMBRE DE CATEGORÍA]</a:t>
                    </a:fld>
                    <a:r>
                      <a:rPr lang="en-US" sz="1200" b="1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92C43D30-CB5C-427F-B1E4-D36727952C55}" type="PERCENTAGE">
                      <a:rPr lang="en-US" sz="1200" b="1" baseline="0">
                        <a:solidFill>
                          <a:sysClr val="windowText" lastClr="000000"/>
                        </a:solidFill>
                      </a:rPr>
                      <a:pPr/>
                      <a:t>[PORCENTAJE]</a:t>
                    </a:fld>
                    <a:endParaRPr lang="en-US" sz="12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1B3-45E1-998E-FDC4FE910CC9}"/>
                </c:ext>
              </c:extLst>
            </c:dLbl>
            <c:dLbl>
              <c:idx val="1"/>
              <c:layout>
                <c:manualLayout>
                  <c:x val="0.12831066265970478"/>
                  <c:y val="-0.14051992635452693"/>
                </c:manualLayout>
              </c:layout>
              <c:tx>
                <c:rich>
                  <a:bodyPr/>
                  <a:lstStyle/>
                  <a:p>
                    <a:fld id="{54A61B88-5ACB-46DA-BBBB-319D1C3B9361}" type="CATEGORYNAME">
                      <a:rPr lang="en-US" sz="1200" b="1">
                        <a:solidFill>
                          <a:sysClr val="windowText" lastClr="000000"/>
                        </a:solidFill>
                      </a:rPr>
                      <a:pPr/>
                      <a:t>[NOMBRE DE CATEGORÍA]</a:t>
                    </a:fld>
                    <a:r>
                      <a:rPr lang="en-US" sz="1200" b="1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EBB07AC1-4DF6-49F2-9A79-B63D152EC7BD}" type="PERCENTAGE">
                      <a:rPr lang="en-US" sz="1200" b="1" baseline="0">
                        <a:solidFill>
                          <a:sysClr val="windowText" lastClr="000000"/>
                        </a:solidFill>
                      </a:rPr>
                      <a:pPr/>
                      <a:t>[PORCENTAJE]</a:t>
                    </a:fld>
                    <a:endParaRPr lang="en-US" sz="12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1B3-45E1-998E-FDC4FE910CC9}"/>
                </c:ext>
              </c:extLst>
            </c:dLbl>
            <c:dLbl>
              <c:idx val="2"/>
              <c:layout>
                <c:manualLayout>
                  <c:x val="9.0853355142786585E-2"/>
                  <c:y val="5.7378021105631283E-2"/>
                </c:manualLayout>
              </c:layout>
              <c:tx>
                <c:rich>
                  <a:bodyPr/>
                  <a:lstStyle/>
                  <a:p>
                    <a:fld id="{1D3CFB00-DB5D-4154-9B8E-0B0603E87519}" type="CATEGORYNAME">
                      <a:rPr lang="en-US" sz="1000" b="1">
                        <a:solidFill>
                          <a:sysClr val="windowText" lastClr="000000"/>
                        </a:solidFill>
                      </a:rPr>
                      <a:pPr/>
                      <a:t>[NOMBRE DE CATEGORÍA]</a:t>
                    </a:fld>
                    <a:r>
                      <a:rPr lang="en-US" sz="1000" b="1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E1CE35B7-9171-4A55-BF70-701D2AE9C6EF}" type="PERCENTAGE">
                      <a:rPr lang="en-US" sz="1000" b="1" baseline="0">
                        <a:solidFill>
                          <a:sysClr val="windowText" lastClr="000000"/>
                        </a:solidFill>
                      </a:rPr>
                      <a:pPr/>
                      <a:t>[PORCENTAJE]</a:t>
                    </a:fld>
                    <a:endParaRPr lang="en-US" sz="10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1B3-45E1-998E-FDC4FE910CC9}"/>
                </c:ext>
              </c:extLst>
            </c:dLbl>
            <c:dLbl>
              <c:idx val="3"/>
              <c:layout>
                <c:manualLayout>
                  <c:x val="7.9175058341587834E-2"/>
                  <c:y val="0.14669986798136156"/>
                </c:manualLayout>
              </c:layout>
              <c:tx>
                <c:rich>
                  <a:bodyPr/>
                  <a:lstStyle/>
                  <a:p>
                    <a:fld id="{F3013263-85CA-4924-8171-C35877FAAE03}" type="CATEGORYNAME">
                      <a:rPr lang="en-US" sz="1200" b="1"/>
                      <a:pPr/>
                      <a:t>[NOMBRE DE CATEGORÍA]</a:t>
                    </a:fld>
                    <a:r>
                      <a:rPr lang="en-US" sz="1200" b="1" baseline="0"/>
                      <a:t>
</a:t>
                    </a:r>
                    <a:fld id="{7D0102DF-CD1F-462C-9389-2ADDF1243D83}" type="PERCENTAGE">
                      <a:rPr lang="en-US" sz="1200" b="1" baseline="0"/>
                      <a:pPr/>
                      <a:t>[PORCENTAJE]</a:t>
                    </a:fld>
                    <a:endParaRPr lang="en-US" sz="1200" b="1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31B3-45E1-998E-FDC4FE910CC9}"/>
                </c:ext>
              </c:extLst>
            </c:dLbl>
            <c:dLbl>
              <c:idx val="4"/>
              <c:layout>
                <c:manualLayout>
                  <c:x val="2.53942884005171E-2"/>
                  <c:y val="0.15108631525516553"/>
                </c:manualLayout>
              </c:layout>
              <c:tx>
                <c:rich>
                  <a:bodyPr/>
                  <a:lstStyle/>
                  <a:p>
                    <a:fld id="{21AA03D3-6EBE-42F4-8123-E75C7316FB3D}" type="CATEGORYNAME">
                      <a:rPr lang="en-US" b="1"/>
                      <a:pPr/>
                      <a:t>[NOMBRE DE CATEGORÍA]</a:t>
                    </a:fld>
                    <a:r>
                      <a:rPr lang="en-US" b="1" baseline="0"/>
                      <a:t>
</a:t>
                    </a:r>
                    <a:fld id="{E0239839-61CC-4EB7-8685-A1C2A0DE5F0A}" type="PERCENTAGE">
                      <a:rPr lang="en-US" sz="1100" b="1" baseline="0"/>
                      <a:pPr/>
                      <a:t>[PORCENTAJE]</a:t>
                    </a:fld>
                    <a:endParaRPr lang="en-US" b="1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31B3-45E1-998E-FDC4FE910C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'DESTINO Y PROCE '!$B$153:$B$159</c:f>
              <c:strCache>
                <c:ptCount val="7"/>
                <c:pt idx="0">
                  <c:v>AVIANCA</c:v>
                </c:pt>
                <c:pt idx="1">
                  <c:v>LATAM</c:v>
                </c:pt>
                <c:pt idx="2">
                  <c:v>CLIC</c:v>
                </c:pt>
                <c:pt idx="3">
                  <c:v>JETSMART</c:v>
                </c:pt>
                <c:pt idx="4">
                  <c:v>COPA</c:v>
                </c:pt>
                <c:pt idx="5">
                  <c:v>GENERAL</c:v>
                </c:pt>
                <c:pt idx="6">
                  <c:v>ESTATAL</c:v>
                </c:pt>
              </c:strCache>
            </c:strRef>
          </c:cat>
          <c:val>
            <c:numRef>
              <c:f>'DESTINO Y PROCE '!$C$153:$C$159</c:f>
              <c:numCache>
                <c:formatCode>#,##0</c:formatCode>
                <c:ptCount val="7"/>
                <c:pt idx="0">
                  <c:v>796</c:v>
                </c:pt>
                <c:pt idx="1">
                  <c:v>302</c:v>
                </c:pt>
                <c:pt idx="2">
                  <c:v>362</c:v>
                </c:pt>
                <c:pt idx="3">
                  <c:v>220</c:v>
                </c:pt>
                <c:pt idx="4">
                  <c:v>128</c:v>
                </c:pt>
                <c:pt idx="5">
                  <c:v>414</c:v>
                </c:pt>
                <c:pt idx="6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1B3-45E1-998E-FDC4FE910CC9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PASAJEROS NACIONALES POR DESTINO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4630326654712714"/>
          <c:y val="0.12109487854458591"/>
          <c:w val="0.68002853356201765"/>
          <c:h val="0.8789051214554141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A444-4A29-9243-CC449C88C12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A444-4A29-9243-CC449C88C12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A444-4A29-9243-CC449C88C12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A444-4A29-9243-CC449C88C12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A444-4A29-9243-CC449C88C12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FF73-4E18-9C97-547E705B078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A444-4A29-9243-CC449C88C12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A444-4A29-9243-CC449C88C121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444-4A29-9243-CC449C88C121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A444-4A29-9243-CC449C88C12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A444-4A29-9243-CC449C88C121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FF73-4E18-9C97-547E705B078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'DESTINO Y PROCE '!$B$86:$B$91</c:f>
              <c:strCache>
                <c:ptCount val="6"/>
                <c:pt idx="0">
                  <c:v>BOGOTÁ</c:v>
                </c:pt>
                <c:pt idx="1">
                  <c:v>RIO NEGRO</c:v>
                </c:pt>
                <c:pt idx="2">
                  <c:v>CARTAGENA</c:v>
                </c:pt>
                <c:pt idx="3">
                  <c:v>MEDELLIN</c:v>
                </c:pt>
                <c:pt idx="4">
                  <c:v>SANTA MARTA</c:v>
                </c:pt>
                <c:pt idx="5">
                  <c:v>OTROS DESTINOS</c:v>
                </c:pt>
              </c:strCache>
            </c:strRef>
          </c:cat>
          <c:val>
            <c:numRef>
              <c:f>'DESTINO Y PROCE '!$C$86:$C$91</c:f>
              <c:numCache>
                <c:formatCode>#,##0</c:formatCode>
                <c:ptCount val="6"/>
                <c:pt idx="0">
                  <c:v>62154</c:v>
                </c:pt>
                <c:pt idx="1">
                  <c:v>3339</c:v>
                </c:pt>
                <c:pt idx="2">
                  <c:v>8662</c:v>
                </c:pt>
                <c:pt idx="3">
                  <c:v>5773</c:v>
                </c:pt>
                <c:pt idx="4">
                  <c:v>4028</c:v>
                </c:pt>
                <c:pt idx="5">
                  <c:v>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44-4A29-9243-CC449C88C12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FF73-4E18-9C97-547E705B078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FF73-4E18-9C97-547E705B07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FF73-4E18-9C97-547E705B078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FF73-4E18-9C97-547E705B078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FF73-4E18-9C97-547E705B078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FF73-4E18-9C97-547E705B0781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BOGOTÁ </a:t>
                    </a:r>
                    <a:fld id="{2F5D4EC8-26A5-43D5-B953-81117BA896E6}" type="PERCENTAGE">
                      <a:rPr lang="en-US"/>
                      <a:pPr>
                        <a:defRPr/>
                      </a:pPr>
                      <a:t>[PORCENTAJE]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FF73-4E18-9C97-547E705B0781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RIO NEGRO </a:t>
                    </a:r>
                    <a:fld id="{EDE6B981-03EE-4EB0-AB91-9821EE0D037B}" type="PERCENTA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FF73-4E18-9C97-547E705B0781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CARTAGENA </a:t>
                    </a:r>
                    <a:fld id="{EF6AD297-8B4D-47C7-895A-2434D99D4F2F}" type="PERCENTA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FF73-4E18-9C97-547E705B0781}"/>
                </c:ext>
              </c:extLst>
            </c:dLbl>
            <c:dLbl>
              <c:idx val="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MEDELLÍN</a:t>
                    </a:r>
                    <a:r>
                      <a:rPr lang="en-US" baseline="0"/>
                      <a:t> </a:t>
                    </a:r>
                    <a:fld id="{A3AA201F-D82D-4BE5-B422-085615ACC214}" type="PERCENTA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3-FF73-4E18-9C97-547E705B0781}"/>
                </c:ext>
              </c:extLst>
            </c:dLbl>
            <c:dLbl>
              <c:idx val="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SANTA MARTA </a:t>
                    </a:r>
                    <a:fld id="{1A044843-7A30-496E-AAE0-F4B78F5578F4}" type="PERCENTA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5-FF73-4E18-9C97-547E705B0781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FF73-4E18-9C97-547E705B078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'DESTINO Y PROCE '!$B$86:$B$91</c:f>
              <c:strCache>
                <c:ptCount val="6"/>
                <c:pt idx="0">
                  <c:v>BOGOTÁ</c:v>
                </c:pt>
                <c:pt idx="1">
                  <c:v>RIO NEGRO</c:v>
                </c:pt>
                <c:pt idx="2">
                  <c:v>CARTAGENA</c:v>
                </c:pt>
                <c:pt idx="3">
                  <c:v>MEDELLIN</c:v>
                </c:pt>
                <c:pt idx="4">
                  <c:v>SANTA MARTA</c:v>
                </c:pt>
                <c:pt idx="5">
                  <c:v>OTROS DESTINOS</c:v>
                </c:pt>
              </c:strCache>
            </c:strRef>
          </c:cat>
          <c:val>
            <c:numRef>
              <c:f>'DESTINO Y PROCE '!$D$86:$D$91</c:f>
              <c:numCache>
                <c:formatCode>0.00%</c:formatCode>
                <c:ptCount val="6"/>
                <c:pt idx="0">
                  <c:v>0.7383639430730119</c:v>
                </c:pt>
                <c:pt idx="1">
                  <c:v>3.966594597163154E-2</c:v>
                </c:pt>
                <c:pt idx="2">
                  <c:v>0.10290099550951555</c:v>
                </c:pt>
                <c:pt idx="3">
                  <c:v>6.8580864358858615E-2</c:v>
                </c:pt>
                <c:pt idx="4">
                  <c:v>4.7850982441968212E-2</c:v>
                </c:pt>
                <c:pt idx="5">
                  <c:v>2.6372686450141366E-3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9FB-485F-884C-3E87AFD9D6F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PASAJEROS INTERNACIONALES POR DESTINO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DF3B-41E8-A3D7-62B07DDD092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DF3B-41E8-A3D7-62B07DDD092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44E-4FBD-A952-C6224E6C1393}"/>
              </c:ext>
            </c:extLst>
          </c:dPt>
          <c:dLbls>
            <c:dLbl>
              <c:idx val="0"/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ED7D31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DF3B-41E8-A3D7-62B07DDD0921}"/>
                </c:ext>
              </c:extLst>
            </c:dLbl>
            <c:dLbl>
              <c:idx val="1"/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ED7D31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DF3B-41E8-A3D7-62B07DDD0921}"/>
                </c:ext>
              </c:extLst>
            </c:dLbl>
            <c:dLbl>
              <c:idx val="2"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C6E8750-D4A3-46FD-8EE8-260D648E96AB}" type="CATEGORYNAME">
                      <a:rPr lang="en-US">
                        <a:solidFill>
                          <a:schemeClr val="accent2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chemeClr val="accent2"/>
                        </a:solidFill>
                      </a:rPr>
                      <a:t>
</a:t>
                    </a:r>
                    <a:fld id="{AC64AD83-4D27-4322-B25F-068607B6B9AE}" type="PERCENTAGE">
                      <a:rPr lang="en-US" baseline="0">
                        <a:solidFill>
                          <a:schemeClr val="accent2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chemeClr val="accent2"/>
                      </a:solidFill>
                    </a:endParaRPr>
                  </a:p>
                </c:rich>
              </c:tx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ED7D31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C44E-4FBD-A952-C6224E6C1393}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rgbClr val="ED7D31"/>
                </a:solidFill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'DESTINO Y PROCE '!$B$95:$B$98</c15:sqref>
                  </c15:fullRef>
                </c:ext>
              </c:extLst>
              <c:f>('DESTINO Y PROCE '!$B$95,'DESTINO Y PROCE '!$B$97:$B$98)</c:f>
              <c:strCache>
                <c:ptCount val="3"/>
                <c:pt idx="0">
                  <c:v>PANAMA</c:v>
                </c:pt>
                <c:pt idx="1">
                  <c:v>BOGOTA</c:v>
                </c:pt>
                <c:pt idx="2">
                  <c:v>OTROS DESTINOS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'DESTINO Y PROCE '!$D$95:$D$98</c15:sqref>
                  </c15:fullRef>
                </c:ext>
              </c:extLst>
              <c:f>('DESTINO Y PROCE '!$D$95,'DESTINO Y PROCE '!$D$97:$D$98)</c:f>
              <c:numCache>
                <c:formatCode>0.0%</c:formatCode>
                <c:ptCount val="3"/>
                <c:pt idx="0">
                  <c:v>0.40370247385024072</c:v>
                </c:pt>
                <c:pt idx="1">
                  <c:v>0.55366926780674086</c:v>
                </c:pt>
                <c:pt idx="2">
                  <c:v>4.2628258343018428E-2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'DESTINO Y PROCE '!$D$96</c15:sqref>
                  <c15:spPr xmlns:c15="http://schemas.microsoft.com/office/drawing/2012/chart"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88900" sx="102000" sy="102000" algn="ctr" rotWithShape="0">
                        <a:prstClr val="black">
                          <a:alpha val="1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w="127000" h="127000"/>
                      <a:bevelB w="127000" h="127000"/>
                    </a:sp3d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8-47CD-43AD-BACE-EDFF068869DD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>
                <a:latin typeface="Arial" panose="020B0604020202020204" pitchFamily="34" charset="0"/>
                <a:cs typeface="Arial" panose="020B0604020202020204" pitchFamily="34" charset="0"/>
              </a:rPr>
              <a:t>COMPARATIVO OPERACIÓN ANUAL DESTINO Y PROCEDENCIA 2016 - 2026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'!$C$3:$C$15</c:f>
              <c:numCache>
                <c:formatCode>#,##0</c:formatCode>
                <c:ptCount val="13"/>
                <c:pt idx="0" formatCode="General">
                  <c:v>2016</c:v>
                </c:pt>
                <c:pt idx="1">
                  <c:v>1727</c:v>
                </c:pt>
                <c:pt idx="2">
                  <c:v>1809</c:v>
                </c:pt>
                <c:pt idx="3">
                  <c:v>1740</c:v>
                </c:pt>
                <c:pt idx="4">
                  <c:v>1678</c:v>
                </c:pt>
                <c:pt idx="5">
                  <c:v>1583</c:v>
                </c:pt>
                <c:pt idx="6">
                  <c:v>1721</c:v>
                </c:pt>
                <c:pt idx="7">
                  <c:v>1748</c:v>
                </c:pt>
                <c:pt idx="8">
                  <c:v>1919</c:v>
                </c:pt>
                <c:pt idx="9">
                  <c:v>1857</c:v>
                </c:pt>
                <c:pt idx="10">
                  <c:v>1920</c:v>
                </c:pt>
                <c:pt idx="11">
                  <c:v>1737</c:v>
                </c:pt>
                <c:pt idx="12">
                  <c:v>1873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8E-43F7-8A6F-D792D1FC2445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'!$D$3:$D$15</c:f>
              <c:numCache>
                <c:formatCode>#,##0</c:formatCode>
                <c:ptCount val="13"/>
                <c:pt idx="0" formatCode="General">
                  <c:v>2017</c:v>
                </c:pt>
                <c:pt idx="1">
                  <c:v>1818</c:v>
                </c:pt>
                <c:pt idx="2">
                  <c:v>1594</c:v>
                </c:pt>
                <c:pt idx="3">
                  <c:v>1763</c:v>
                </c:pt>
                <c:pt idx="4">
                  <c:v>1688</c:v>
                </c:pt>
                <c:pt idx="5">
                  <c:v>1772</c:v>
                </c:pt>
                <c:pt idx="6">
                  <c:v>1822</c:v>
                </c:pt>
                <c:pt idx="7">
                  <c:v>1863</c:v>
                </c:pt>
                <c:pt idx="8">
                  <c:v>2036</c:v>
                </c:pt>
                <c:pt idx="9">
                  <c:v>1414</c:v>
                </c:pt>
                <c:pt idx="10">
                  <c:v>1541</c:v>
                </c:pt>
                <c:pt idx="11">
                  <c:v>2158</c:v>
                </c:pt>
                <c:pt idx="12">
                  <c:v>2431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8E-43F7-8A6F-D792D1FC2445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'!$E$3:$E$15</c:f>
              <c:numCache>
                <c:formatCode>#,##0</c:formatCode>
                <c:ptCount val="13"/>
                <c:pt idx="0" formatCode="General">
                  <c:v>2018</c:v>
                </c:pt>
                <c:pt idx="1">
                  <c:v>2399</c:v>
                </c:pt>
                <c:pt idx="2">
                  <c:v>2287</c:v>
                </c:pt>
                <c:pt idx="3">
                  <c:v>2327</c:v>
                </c:pt>
                <c:pt idx="4">
                  <c:v>2096</c:v>
                </c:pt>
                <c:pt idx="5">
                  <c:v>2249</c:v>
                </c:pt>
                <c:pt idx="6">
                  <c:v>2153</c:v>
                </c:pt>
                <c:pt idx="7">
                  <c:v>2164</c:v>
                </c:pt>
                <c:pt idx="8">
                  <c:v>2719</c:v>
                </c:pt>
                <c:pt idx="9">
                  <c:v>2257</c:v>
                </c:pt>
                <c:pt idx="10">
                  <c:v>2298</c:v>
                </c:pt>
                <c:pt idx="11">
                  <c:v>2294</c:v>
                </c:pt>
                <c:pt idx="12">
                  <c:v>2450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8E-43F7-8A6F-D792D1FC2445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'!$F$3:$F$15</c:f>
              <c:numCache>
                <c:formatCode>#,##0</c:formatCode>
                <c:ptCount val="13"/>
                <c:pt idx="0" formatCode="General">
                  <c:v>2019</c:v>
                </c:pt>
                <c:pt idx="1">
                  <c:v>2241</c:v>
                </c:pt>
                <c:pt idx="2">
                  <c:v>2053</c:v>
                </c:pt>
                <c:pt idx="3">
                  <c:v>2123</c:v>
                </c:pt>
                <c:pt idx="4">
                  <c:v>2020</c:v>
                </c:pt>
                <c:pt idx="5">
                  <c:v>2076</c:v>
                </c:pt>
                <c:pt idx="6">
                  <c:v>1938</c:v>
                </c:pt>
                <c:pt idx="7">
                  <c:v>2244</c:v>
                </c:pt>
                <c:pt idx="8">
                  <c:v>2475</c:v>
                </c:pt>
                <c:pt idx="9">
                  <c:v>2049</c:v>
                </c:pt>
                <c:pt idx="10">
                  <c:v>2382</c:v>
                </c:pt>
                <c:pt idx="11">
                  <c:v>2186</c:v>
                </c:pt>
                <c:pt idx="12">
                  <c:v>2342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8E-43F7-8A6F-D792D1FC2445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'!$G$3:$G$15</c:f>
              <c:numCache>
                <c:formatCode>#,##0</c:formatCode>
                <c:ptCount val="13"/>
                <c:pt idx="0" formatCode="General">
                  <c:v>2020</c:v>
                </c:pt>
                <c:pt idx="1">
                  <c:v>2333</c:v>
                </c:pt>
                <c:pt idx="2">
                  <c:v>2061</c:v>
                </c:pt>
                <c:pt idx="3">
                  <c:v>1476</c:v>
                </c:pt>
                <c:pt idx="4">
                  <c:v>60</c:v>
                </c:pt>
                <c:pt idx="5">
                  <c:v>123</c:v>
                </c:pt>
                <c:pt idx="6">
                  <c:v>241</c:v>
                </c:pt>
                <c:pt idx="7">
                  <c:v>292</c:v>
                </c:pt>
                <c:pt idx="8">
                  <c:v>335</c:v>
                </c:pt>
                <c:pt idx="9">
                  <c:v>777</c:v>
                </c:pt>
                <c:pt idx="10">
                  <c:v>956</c:v>
                </c:pt>
                <c:pt idx="11">
                  <c:v>978</c:v>
                </c:pt>
                <c:pt idx="12">
                  <c:v>1308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58E-43F7-8A6F-D792D1FC2445}"/>
            </c:ext>
          </c:extLst>
        </c:ser>
        <c:ser>
          <c:idx val="5"/>
          <c:order val="5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'!$H$3:$H$15</c:f>
              <c:numCache>
                <c:formatCode>#,##0</c:formatCode>
                <c:ptCount val="13"/>
                <c:pt idx="0" formatCode="General">
                  <c:v>2021</c:v>
                </c:pt>
                <c:pt idx="1">
                  <c:v>1418</c:v>
                </c:pt>
                <c:pt idx="2">
                  <c:v>1266</c:v>
                </c:pt>
                <c:pt idx="3">
                  <c:v>1547</c:v>
                </c:pt>
                <c:pt idx="4">
                  <c:v>1441</c:v>
                </c:pt>
                <c:pt idx="5">
                  <c:v>2005</c:v>
                </c:pt>
                <c:pt idx="6">
                  <c:v>1773</c:v>
                </c:pt>
                <c:pt idx="7">
                  <c:v>1894</c:v>
                </c:pt>
                <c:pt idx="8">
                  <c:v>1898</c:v>
                </c:pt>
                <c:pt idx="9">
                  <c:v>1854</c:v>
                </c:pt>
                <c:pt idx="10">
                  <c:v>1988</c:v>
                </c:pt>
                <c:pt idx="11">
                  <c:v>2092</c:v>
                </c:pt>
                <c:pt idx="12">
                  <c:v>2284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8E-43F7-8A6F-D792D1FC2445}"/>
            </c:ext>
          </c:extLst>
        </c:ser>
        <c:ser>
          <c:idx val="6"/>
          <c:order val="6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'!$I$3:$I$15</c:f>
              <c:numCache>
                <c:formatCode>#,##0</c:formatCode>
                <c:ptCount val="13"/>
                <c:pt idx="0" formatCode="General">
                  <c:v>2022</c:v>
                </c:pt>
                <c:pt idx="1">
                  <c:v>2314</c:v>
                </c:pt>
                <c:pt idx="2">
                  <c:v>2128</c:v>
                </c:pt>
                <c:pt idx="3">
                  <c:v>2452</c:v>
                </c:pt>
                <c:pt idx="4">
                  <c:v>2299</c:v>
                </c:pt>
                <c:pt idx="5">
                  <c:v>2424</c:v>
                </c:pt>
                <c:pt idx="6">
                  <c:v>2298</c:v>
                </c:pt>
                <c:pt idx="7">
                  <c:v>2307</c:v>
                </c:pt>
                <c:pt idx="8">
                  <c:v>2374</c:v>
                </c:pt>
                <c:pt idx="9">
                  <c:v>2235</c:v>
                </c:pt>
                <c:pt idx="10">
                  <c:v>2193</c:v>
                </c:pt>
                <c:pt idx="11">
                  <c:v>2084</c:v>
                </c:pt>
                <c:pt idx="12">
                  <c:v>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58E-43F7-8A6F-D792D1FC2445}"/>
            </c:ext>
          </c:extLst>
        </c:ser>
        <c:ser>
          <c:idx val="7"/>
          <c:order val="7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'!$J$3:$J$15</c:f>
              <c:numCache>
                <c:formatCode>#,##0</c:formatCode>
                <c:ptCount val="13"/>
                <c:pt idx="0" formatCode="General">
                  <c:v>2023</c:v>
                </c:pt>
                <c:pt idx="1">
                  <c:v>2050</c:v>
                </c:pt>
                <c:pt idx="2">
                  <c:v>1957</c:v>
                </c:pt>
                <c:pt idx="3">
                  <c:v>1776</c:v>
                </c:pt>
                <c:pt idx="4">
                  <c:v>1676</c:v>
                </c:pt>
                <c:pt idx="5">
                  <c:v>1812</c:v>
                </c:pt>
                <c:pt idx="6">
                  <c:v>1807</c:v>
                </c:pt>
                <c:pt idx="7">
                  <c:v>1836</c:v>
                </c:pt>
                <c:pt idx="8">
                  <c:v>1974</c:v>
                </c:pt>
                <c:pt idx="9">
                  <c:v>1882</c:v>
                </c:pt>
                <c:pt idx="10">
                  <c:v>2064</c:v>
                </c:pt>
                <c:pt idx="11">
                  <c:v>2608</c:v>
                </c:pt>
                <c:pt idx="12">
                  <c:v>2413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58E-43F7-8A6F-D792D1FC2445}"/>
            </c:ext>
          </c:extLst>
        </c:ser>
        <c:ser>
          <c:idx val="8"/>
          <c:order val="8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'!$K$3:$K$15</c:f>
              <c:numCache>
                <c:formatCode>#,##0</c:formatCode>
                <c:ptCount val="13"/>
                <c:pt idx="0" formatCode="General">
                  <c:v>2024</c:v>
                </c:pt>
                <c:pt idx="1">
                  <c:v>2090</c:v>
                </c:pt>
                <c:pt idx="2">
                  <c:v>2063</c:v>
                </c:pt>
                <c:pt idx="3">
                  <c:v>2106</c:v>
                </c:pt>
                <c:pt idx="4">
                  <c:v>2140</c:v>
                </c:pt>
                <c:pt idx="5">
                  <c:v>2227</c:v>
                </c:pt>
                <c:pt idx="6">
                  <c:v>2071</c:v>
                </c:pt>
                <c:pt idx="7">
                  <c:v>2278</c:v>
                </c:pt>
                <c:pt idx="8">
                  <c:v>2364</c:v>
                </c:pt>
                <c:pt idx="9">
                  <c:v>2078</c:v>
                </c:pt>
                <c:pt idx="10">
                  <c:v>2148</c:v>
                </c:pt>
                <c:pt idx="11">
                  <c:v>2072</c:v>
                </c:pt>
                <c:pt idx="12">
                  <c:v>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8E-43F7-8A6F-D792D1FC2445}"/>
            </c:ext>
          </c:extLst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'!$L$3:$L$15</c:f>
              <c:numCache>
                <c:formatCode>#,##0</c:formatCode>
                <c:ptCount val="13"/>
                <c:pt idx="0" formatCode="General">
                  <c:v>2025</c:v>
                </c:pt>
                <c:pt idx="1">
                  <c:v>2146</c:v>
                </c:pt>
                <c:pt idx="2">
                  <c:v>1926</c:v>
                </c:pt>
                <c:pt idx="3">
                  <c:v>2148</c:v>
                </c:pt>
                <c:pt idx="4">
                  <c:v>1821</c:v>
                </c:pt>
                <c:pt idx="5">
                  <c:v>1765</c:v>
                </c:pt>
                <c:pt idx="6">
                  <c:v>1874</c:v>
                </c:pt>
                <c:pt idx="7">
                  <c:v>2010</c:v>
                </c:pt>
                <c:pt idx="8" formatCode="General">
                  <c:v>2115</c:v>
                </c:pt>
                <c:pt idx="9" formatCode="General">
                  <c:v>2012</c:v>
                </c:pt>
                <c:pt idx="10" formatCode="General">
                  <c:v>2162</c:v>
                </c:pt>
                <c:pt idx="11" formatCode="General">
                  <c:v>2222</c:v>
                </c:pt>
                <c:pt idx="12" formatCode="General">
                  <c:v>2284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53-459A-AB41-43443AE88EDB}"/>
            </c:ext>
          </c:extLst>
        </c:ser>
        <c:ser>
          <c:idx val="10"/>
          <c:order val="10"/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'!$M$3:$M$15</c:f>
              <c:numCache>
                <c:formatCode>#,##0</c:formatCode>
                <c:ptCount val="13"/>
                <c:pt idx="0" formatCode="General">
                  <c:v>2026</c:v>
                </c:pt>
                <c:pt idx="1">
                  <c:v>2288</c:v>
                </c:pt>
                <c:pt idx="2">
                  <c:v>2094</c:v>
                </c:pt>
                <c:pt idx="3">
                  <c:v>2343</c:v>
                </c:pt>
                <c:pt idx="4">
                  <c:v>2213</c:v>
                </c:pt>
                <c:pt idx="5">
                  <c:v>2289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75-4C78-BF86-FAEEC21F6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375544"/>
        <c:axId val="428377184"/>
      </c:lineChart>
      <c:catAx>
        <c:axId val="428375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8377184"/>
        <c:crossesAt val="0"/>
        <c:auto val="1"/>
        <c:lblAlgn val="ctr"/>
        <c:lblOffset val="100"/>
        <c:noMultiLvlLbl val="0"/>
      </c:catAx>
      <c:valAx>
        <c:axId val="428377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8375544"/>
        <c:crosses val="autoZero"/>
        <c:crossBetween val="between"/>
        <c:majorUnit val="300"/>
        <c:minorUnit val="3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REPORTE VUELOS ATRASADOS MAYO - 2026</a:t>
            </a:r>
          </a:p>
        </c:rich>
      </c:tx>
      <c:layout>
        <c:manualLayout>
          <c:xMode val="edge"/>
          <c:yMode val="edge"/>
          <c:x val="0.35515584895462038"/>
          <c:y val="3.47760962817750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681425640294916"/>
          <c:y val="6.9719534005876257E-2"/>
          <c:w val="0.87176985849074495"/>
          <c:h val="0.861187749718337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'ATRASOS '!$B$71</c:f>
              <c:strCache>
                <c:ptCount val="1"/>
                <c:pt idx="0">
                  <c:v>TOTAL VUELOS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E30-4FCF-9445-5B152A0AB2C3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30-4FCF-9445-5B152A0AB2C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BE30-4FCF-9445-5B152A0AB2C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E30-4FCF-9445-5B152A0AB2C3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30-4FCF-9445-5B152A0AB2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'ATRASOS '!$C$70:$G$70</c:f>
              <c:strCache>
                <c:ptCount val="5"/>
                <c:pt idx="0">
                  <c:v>AVIANCA</c:v>
                </c:pt>
                <c:pt idx="1">
                  <c:v>LATAM</c:v>
                </c:pt>
                <c:pt idx="2">
                  <c:v>JETSMART</c:v>
                </c:pt>
                <c:pt idx="3">
                  <c:v>CLIC</c:v>
                </c:pt>
                <c:pt idx="4">
                  <c:v>COPA</c:v>
                </c:pt>
              </c:strCache>
            </c:strRef>
          </c:cat>
          <c:val>
            <c:numRef>
              <c:f>'ATRASOS '!$C$71:$G$71</c:f>
              <c:numCache>
                <c:formatCode>General</c:formatCode>
                <c:ptCount val="5"/>
                <c:pt idx="0">
                  <c:v>379</c:v>
                </c:pt>
                <c:pt idx="1">
                  <c:v>136</c:v>
                </c:pt>
                <c:pt idx="2">
                  <c:v>101</c:v>
                </c:pt>
                <c:pt idx="3">
                  <c:v>158</c:v>
                </c:pt>
                <c:pt idx="4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E1-42BC-95D9-A3570E924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62844344"/>
        <c:axId val="562844672"/>
      </c:barChart>
      <c:catAx>
        <c:axId val="562844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62844672"/>
        <c:crosses val="autoZero"/>
        <c:auto val="1"/>
        <c:lblAlgn val="ctr"/>
        <c:lblOffset val="100"/>
        <c:noMultiLvlLbl val="0"/>
      </c:catAx>
      <c:valAx>
        <c:axId val="5628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62844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COMPARATIVO OPERACIONES DESTINO Y PROCEDENCIA 2024 VS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'ATRASOS '!$B$51</c:f>
              <c:strCache>
                <c:ptCount val="1"/>
                <c:pt idx="0">
                  <c:v>ENERO - DICIEMBRE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853-43CB-884E-0B0467DB58A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53-43CB-884E-0B0467DB58AD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2853-43CB-884E-0B0467DB58AD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53-43CB-884E-0B0467DB58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'ATRASOS '!$C$49:$K$50</c:f>
              <c:multiLvlStrCache>
                <c:ptCount val="9"/>
                <c:lvl>
                  <c:pt idx="0">
                    <c:v>MILITAR Y ESTADO</c:v>
                  </c:pt>
                  <c:pt idx="1">
                    <c:v>REGULAR</c:v>
                  </c:pt>
                  <c:pt idx="2">
                    <c:v>NO REGULAR</c:v>
                  </c:pt>
                  <c:pt idx="3">
                    <c:v>TOTAL</c:v>
                  </c:pt>
                  <c:pt idx="4">
                    <c:v>MILITAR Y ESTADO</c:v>
                  </c:pt>
                  <c:pt idx="5">
                    <c:v>REGULAR</c:v>
                  </c:pt>
                  <c:pt idx="6">
                    <c:v>NO REGULAR</c:v>
                  </c:pt>
                  <c:pt idx="7">
                    <c:v>TOTAL</c:v>
                  </c:pt>
                  <c:pt idx="8">
                    <c:v>% DE CREC. 2024 VS 2025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'ATRASOS '!$C$51:$K$51</c:f>
              <c:numCache>
                <c:formatCode>#,##0</c:formatCode>
                <c:ptCount val="9"/>
                <c:pt idx="0">
                  <c:v>514</c:v>
                </c:pt>
                <c:pt idx="1">
                  <c:v>21829</c:v>
                </c:pt>
                <c:pt idx="2">
                  <c:v>3470</c:v>
                </c:pt>
                <c:pt idx="3">
                  <c:v>25813</c:v>
                </c:pt>
                <c:pt idx="4">
                  <c:v>448</c:v>
                </c:pt>
                <c:pt idx="5">
                  <c:v>19785</c:v>
                </c:pt>
                <c:pt idx="6">
                  <c:v>4246</c:v>
                </c:pt>
                <c:pt idx="7">
                  <c:v>24479</c:v>
                </c:pt>
                <c:pt idx="8" formatCode="0.00%">
                  <c:v>6.0845332094751514E-2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1-4286-9FE8-4D1D3276288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08652136"/>
        <c:axId val="308654432"/>
      </c:barChart>
      <c:catAx>
        <c:axId val="308652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8654432"/>
        <c:crosses val="autoZero"/>
        <c:auto val="1"/>
        <c:lblAlgn val="ctr"/>
        <c:lblOffset val="100"/>
        <c:noMultiLvlLbl val="0"/>
      </c:catAx>
      <c:valAx>
        <c:axId val="308654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86521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baseline="0">
                <a:solidFill>
                  <a:sysClr val="windowText" lastClr="000000"/>
                </a:solidFill>
              </a:rPr>
              <a:t>REPORTE VUELOS ATRASADOS MARZO - 2025</a:t>
            </a:r>
          </a:p>
        </c:rich>
      </c:tx>
      <c:layout>
        <c:manualLayout>
          <c:xMode val="edge"/>
          <c:yMode val="edge"/>
          <c:x val="0.33343172185689546"/>
          <c:y val="3.45308427623120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'ATRASOS '!$B$86</c:f>
              <c:strCache>
                <c:ptCount val="1"/>
                <c:pt idx="0">
                  <c:v>TOTAL VUELOS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65-4833-925B-88F0C63B63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4A65-4833-925B-88F0C63B634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A65-4833-925B-88F0C63B634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65-4833-925B-88F0C63B6341}"/>
              </c:ext>
            </c:extLst>
          </c:dPt>
          <c:dPt>
            <c:idx val="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A65-4833-925B-88F0C63B634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4A65-4833-925B-88F0C63B63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'ATRASOS '!$C$84:$I$85</c:f>
              <c:strCache>
                <c:ptCount val="7"/>
                <c:pt idx="0">
                  <c:v>AVIANCA</c:v>
                </c:pt>
                <c:pt idx="1">
                  <c:v>LATAM </c:v>
                </c:pt>
                <c:pt idx="2">
                  <c:v>JETSMART</c:v>
                </c:pt>
                <c:pt idx="3">
                  <c:v>CLIC</c:v>
                </c:pt>
                <c:pt idx="4">
                  <c:v>COPA</c:v>
                </c:pt>
                <c:pt idx="5">
                  <c:v>AMERICAN</c:v>
                </c:pt>
                <c:pt idx="6">
                  <c:v>WINGO</c:v>
                </c:pt>
              </c:strCache>
            </c:strRef>
          </c:cat>
          <c:val>
            <c:numRef>
              <c:f>'ATRASOS '!$C$86:$I$86</c:f>
              <c:numCache>
                <c:formatCode>General</c:formatCode>
                <c:ptCount val="7"/>
                <c:pt idx="0">
                  <c:v>337</c:v>
                </c:pt>
                <c:pt idx="1">
                  <c:v>137</c:v>
                </c:pt>
                <c:pt idx="2">
                  <c:v>74</c:v>
                </c:pt>
                <c:pt idx="3">
                  <c:v>64</c:v>
                </c:pt>
                <c:pt idx="4">
                  <c:v>50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65-4833-925B-88F0C63B634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77281736"/>
        <c:axId val="577290736"/>
      </c:barChart>
      <c:catAx>
        <c:axId val="577281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7290736"/>
        <c:crosses val="autoZero"/>
        <c:auto val="1"/>
        <c:lblAlgn val="ctr"/>
        <c:lblOffset val="100"/>
        <c:noMultiLvlLbl val="0"/>
      </c:catAx>
      <c:valAx>
        <c:axId val="577290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72817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</a:rPr>
              <a:t>VOLUMEN DE CARGA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'CARGA '!$C$2:$C$3</c:f>
              <c:strCache>
                <c:ptCount val="2"/>
                <c:pt idx="0">
                  <c:v>VOLUMEN DE CARGA MES DE MAYO 2026</c:v>
                </c:pt>
                <c:pt idx="1">
                  <c:v>TOTAL EN KILOS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'!$B$4:$B$7</c:f>
              <c:strCache>
                <c:ptCount val="4"/>
                <c:pt idx="0">
                  <c:v>LATAM</c:v>
                </c:pt>
                <c:pt idx="1">
                  <c:v>COPA</c:v>
                </c:pt>
                <c:pt idx="2">
                  <c:v>DEPRISA</c:v>
                </c:pt>
                <c:pt idx="3">
                  <c:v>TOTAL</c:v>
                </c:pt>
              </c:strCache>
            </c:strRef>
          </c:cat>
          <c:val>
            <c:numRef>
              <c:f>'CARGA '!$C$4:$C$7</c:f>
              <c:numCache>
                <c:formatCode>#,##0</c:formatCode>
                <c:ptCount val="4"/>
                <c:pt idx="0">
                  <c:v>7087</c:v>
                </c:pt>
                <c:pt idx="1">
                  <c:v>0</c:v>
                </c:pt>
                <c:pt idx="2">
                  <c:v>79253</c:v>
                </c:pt>
                <c:pt idx="3">
                  <c:v>86340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4B-4551-8732-32934DB09D4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14279584"/>
        <c:axId val="614278864"/>
      </c:lineChart>
      <c:catAx>
        <c:axId val="614279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278864"/>
        <c:crosses val="autoZero"/>
        <c:auto val="1"/>
        <c:lblAlgn val="ctr"/>
        <c:lblOffset val="100"/>
        <c:noMultiLvlLbl val="0"/>
      </c:catAx>
      <c:valAx>
        <c:axId val="614278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279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PASAJEROS INTERNACIONALES LLEGADOS POR AEROLINEA</a:t>
            </a:r>
            <a:endParaRPr lang="es-CO" sz="1100"/>
          </a:p>
        </c:rich>
      </c:tx>
      <c:layout>
        <c:manualLayout>
          <c:xMode val="edge"/>
          <c:yMode val="edge"/>
          <c:x val="0.13632147705674721"/>
          <c:y val="3.27662079417201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2697190968373145E-2"/>
          <c:y val="0.21125736920576163"/>
          <c:w val="0.93730280903162688"/>
          <c:h val="0.70522141972891561"/>
        </c:manualLayout>
      </c:layout>
      <c:pie3DChart>
        <c:varyColors val="1"/>
        <c:ser>
          <c:idx val="0"/>
          <c:order val="0"/>
          <c:tx>
            <c:strRef>
              <c:f>'ESTADISTICAS AEROLINEAS '!$C$62</c:f>
              <c:strCache>
                <c:ptCount val="1"/>
                <c:pt idx="0">
                  <c:v>PAX. INTERNACIONALES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6618-45FD-97F4-30C51C821FB3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7A40-4F55-A1ED-270567C568A0}"/>
              </c:ext>
            </c:extLst>
          </c:dPt>
          <c:dLbls>
            <c:dLbl>
              <c:idx val="0"/>
              <c:layout>
                <c:manualLayout>
                  <c:x val="6.9168293012210696E-2"/>
                  <c:y val="3.3966331000716606E-3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3F2525E-923A-4DCC-B02F-3D70ECD758A8}" type="CATEGORYNAME">
                      <a:rPr lang="en-US" sz="1200"/>
                      <a:pPr>
                        <a:defRPr/>
                      </a:pPr>
                      <a:t>[NOMBRE DE CATEGORÍA]</a:t>
                    </a:fld>
                    <a:r>
                      <a:rPr lang="en-US" sz="1200" baseline="0"/>
                      <a:t>
</a:t>
                    </a:r>
                    <a:fld id="{BEC847C2-D21A-48C9-85CF-484E8AE47C5C}" type="PERCENTAGE">
                      <a:rPr lang="en-US" sz="1200" baseline="0"/>
                      <a:pPr>
                        <a:defRPr/>
                      </a:pPr>
                      <a:t>[PORCENTAJE]</a:t>
                    </a:fld>
                    <a:endParaRPr lang="en-US" sz="1200" baseline="0"/>
                  </a:p>
                </c:rich>
              </c:tx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ED7D31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618-45FD-97F4-30C51C821FB3}"/>
                </c:ext>
              </c:extLst>
            </c:dLbl>
            <c:dLbl>
              <c:idx val="1"/>
              <c:layout>
                <c:manualLayout>
                  <c:x val="9.5946741812273237E-2"/>
                  <c:y val="-1.7871792090572092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6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4320037-A3B3-4F8B-947E-40983352962E}" type="CATEGORYNAME">
                      <a:rPr lang="en-US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6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chemeClr val="accent1"/>
                        </a:solidFill>
                      </a:rPr>
                      <a:t>
</a:t>
                    </a:r>
                    <a:fld id="{D0A38D9F-8269-4376-89E1-F90BB4C7CD63}" type="PERCENTAGE">
                      <a:rPr lang="en-US" baseline="0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6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chemeClr val="accent1"/>
                      </a:solidFill>
                    </a:endParaRPr>
                  </a:p>
                </c:rich>
              </c:tx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FFC000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7A40-4F55-A1ED-270567C568A0}"/>
                </c:ext>
              </c:extLst>
            </c:dLbl>
            <c:numFmt formatCode="0.00%" sourceLinked="0"/>
            <c:spPr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'ESTADISTICAS AEROLINEAS '!$B$63:$B$64</c:f>
              <c:strCache>
                <c:ptCount val="2"/>
                <c:pt idx="0">
                  <c:v>COPA</c:v>
                </c:pt>
                <c:pt idx="1">
                  <c:v>GENERAL</c:v>
                </c:pt>
              </c:strCache>
            </c:strRef>
          </c:cat>
          <c:val>
            <c:numRef>
              <c:f>'ESTADISTICAS AEROLINEAS '!$C$63:$C$64</c:f>
              <c:numCache>
                <c:formatCode>#,##0</c:formatCode>
                <c:ptCount val="2"/>
                <c:pt idx="0">
                  <c:v>9081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18-45FD-97F4-30C51C821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00" b="1">
                <a:solidFill>
                  <a:sysClr val="windowText" lastClr="000000"/>
                </a:solidFill>
              </a:rPr>
              <a:t>KILOS CARGA</a:t>
            </a:r>
            <a:r>
              <a:rPr lang="es-CO" sz="1000" b="1" baseline="0">
                <a:solidFill>
                  <a:sysClr val="windowText" lastClr="000000"/>
                </a:solidFill>
              </a:rPr>
              <a:t> TRANSPORTADA AD-SKPE</a:t>
            </a:r>
            <a:endParaRPr lang="es-CO" sz="10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'CARGA '!$B$4</c:f>
              <c:strCache>
                <c:ptCount val="1"/>
                <c:pt idx="0">
                  <c:v>LATAM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'!$C$2:$C$3</c:f>
              <c:strCache>
                <c:ptCount val="2"/>
                <c:pt idx="1">
                  <c:v>TOTAL EN KILOS</c:v>
                </c:pt>
              </c:strCache>
            </c:strRef>
          </c:cat>
          <c:val>
            <c:numRef>
              <c:f>'CARGA '!$C$4</c:f>
              <c:numCache>
                <c:formatCode>#,##0</c:formatCode>
                <c:ptCount val="1"/>
                <c:pt idx="0">
                  <c:v>7087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6F-4E11-90BE-98BBB2A3DA9E}"/>
            </c:ext>
          </c:extLst>
        </c:ser>
        <c:ser>
          <c:idx val="1"/>
          <c:order val="1"/>
          <c:tx>
            <c:strRef>
              <c:f>'CARGA '!$B$5</c:f>
              <c:strCache>
                <c:ptCount val="1"/>
                <c:pt idx="0">
                  <c:v>COPA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'!$C$2:$C$3</c:f>
              <c:strCache>
                <c:ptCount val="2"/>
                <c:pt idx="1">
                  <c:v>TOTAL EN KILOS</c:v>
                </c:pt>
              </c:strCache>
            </c:strRef>
          </c:cat>
          <c:val>
            <c:numRef>
              <c:f>'CARGA '!$C$5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6F-4E11-90BE-98BBB2A3DA9E}"/>
            </c:ext>
          </c:extLst>
        </c:ser>
        <c:ser>
          <c:idx val="2"/>
          <c:order val="2"/>
          <c:tx>
            <c:strRef>
              <c:f>'CARGA '!$B$6</c:f>
              <c:strCache>
                <c:ptCount val="1"/>
                <c:pt idx="0">
                  <c:v>DEPRISA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'!$C$2:$C$3</c:f>
              <c:strCache>
                <c:ptCount val="2"/>
                <c:pt idx="1">
                  <c:v>TOTAL EN KILOS</c:v>
                </c:pt>
              </c:strCache>
            </c:strRef>
          </c:cat>
          <c:val>
            <c:numRef>
              <c:f>'CARGA '!$C$6</c:f>
              <c:numCache>
                <c:formatCode>#,##0</c:formatCode>
                <c:ptCount val="1"/>
                <c:pt idx="0">
                  <c:v>79253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6F-4E11-90BE-98BBB2A3DA9E}"/>
            </c:ext>
          </c:extLst>
        </c:ser>
        <c:ser>
          <c:idx val="3"/>
          <c:order val="3"/>
          <c:tx>
            <c:strRef>
              <c:f>'CARGA '!$B$7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'!$C$2:$C$3</c:f>
              <c:strCache>
                <c:ptCount val="2"/>
                <c:pt idx="1">
                  <c:v>TOTAL EN KILOS</c:v>
                </c:pt>
              </c:strCache>
            </c:strRef>
          </c:cat>
          <c:val>
            <c:numRef>
              <c:f>'CARGA '!$C$7</c:f>
              <c:numCache>
                <c:formatCode>#,##0</c:formatCode>
                <c:ptCount val="1"/>
                <c:pt idx="0">
                  <c:v>86340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C3-483C-9FEF-64F65E25F48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99172296"/>
        <c:axId val="599171936"/>
      </c:barChart>
      <c:catAx>
        <c:axId val="599172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99171936"/>
        <c:crosses val="autoZero"/>
        <c:auto val="1"/>
        <c:lblAlgn val="ctr"/>
        <c:lblOffset val="100"/>
        <c:noMultiLvlLbl val="0"/>
      </c:catAx>
      <c:valAx>
        <c:axId val="59917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99172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</a:rPr>
              <a:t>VOLUMEN DE CARGA PRIMER SEMESTRE AÑO 2026 ( ENERO - JUNIO) </a:t>
            </a:r>
          </a:p>
        </c:rich>
      </c:tx>
      <c:layout>
        <c:manualLayout>
          <c:xMode val="edge"/>
          <c:yMode val="edge"/>
          <c:x val="0.12648115932514936"/>
          <c:y val="3.83299192829675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'CARGA '!$C$9:$C$10</c:f>
              <c:strCache>
                <c:ptCount val="2"/>
                <c:pt idx="0">
                  <c:v>VOLUMEN DE CARGA PRIMER SEMESTRE AÑO 2026  (ENERO - JUNIO)</c:v>
                </c:pt>
                <c:pt idx="1">
                  <c:v>TOTAL EN KILOS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'!$B$11:$B$14</c:f>
              <c:strCache>
                <c:ptCount val="4"/>
                <c:pt idx="0">
                  <c:v>COPA</c:v>
                </c:pt>
                <c:pt idx="1">
                  <c:v>LATAM</c:v>
                </c:pt>
                <c:pt idx="2">
                  <c:v>DEPRISA</c:v>
                </c:pt>
                <c:pt idx="3">
                  <c:v>TOTAL </c:v>
                </c:pt>
              </c:strCache>
            </c:strRef>
          </c:cat>
          <c:val>
            <c:numRef>
              <c:f>'CARGA '!$C$11:$C$14</c:f>
              <c:numCache>
                <c:formatCode>#,##0</c:formatCode>
                <c:ptCount val="4"/>
                <c:pt idx="0">
                  <c:v>0</c:v>
                </c:pt>
                <c:pt idx="1">
                  <c:v>46805</c:v>
                </c:pt>
                <c:pt idx="2">
                  <c:v>346314</c:v>
                </c:pt>
                <c:pt idx="3">
                  <c:v>393119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48-47D9-B298-48EEB716E96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6193848"/>
        <c:axId val="106195648"/>
      </c:lineChart>
      <c:catAx>
        <c:axId val="106193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195648"/>
        <c:crosses val="autoZero"/>
        <c:auto val="1"/>
        <c:lblAlgn val="ctr"/>
        <c:lblOffset val="100"/>
        <c:noMultiLvlLbl val="0"/>
      </c:catAx>
      <c:valAx>
        <c:axId val="106195648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193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 i="0" u="none" strike="noStrike" kern="1200" spc="0" baseline="0">
                <a:solidFill>
                  <a:sysClr val="windowText" lastClr="000000"/>
                </a:solidFill>
              </a:rPr>
              <a:t>KILOS CARGA TRANSPORTADA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'CARGA '!$B$48</c:f>
              <c:strCache>
                <c:ptCount val="1"/>
                <c:pt idx="0">
                  <c:v>DEPRISA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'!$C$47:$N$47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'CARGA '!$C$48:$N$48</c:f>
              <c:numCache>
                <c:formatCode>#,##0</c:formatCode>
                <c:ptCount val="12"/>
                <c:pt idx="0">
                  <c:v>62350</c:v>
                </c:pt>
                <c:pt idx="1">
                  <c:v>80852</c:v>
                </c:pt>
                <c:pt idx="2">
                  <c:v>66737</c:v>
                </c:pt>
                <c:pt idx="3">
                  <c:v>57122</c:v>
                </c:pt>
                <c:pt idx="4">
                  <c:v>79253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B3-4CA5-92C0-6215681D8F0B}"/>
            </c:ext>
          </c:extLst>
        </c:ser>
        <c:ser>
          <c:idx val="1"/>
          <c:order val="1"/>
          <c:tx>
            <c:strRef>
              <c:f>'CARGA '!$B$49</c:f>
              <c:strCache>
                <c:ptCount val="1"/>
                <c:pt idx="0">
                  <c:v>LATAM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'!$C$47:$N$47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'CARGA '!$C$49:$N$49</c:f>
              <c:numCache>
                <c:formatCode>#,##0</c:formatCode>
                <c:ptCount val="12"/>
                <c:pt idx="0">
                  <c:v>7435</c:v>
                </c:pt>
                <c:pt idx="1">
                  <c:v>8512</c:v>
                </c:pt>
                <c:pt idx="2">
                  <c:v>10466</c:v>
                </c:pt>
                <c:pt idx="3">
                  <c:v>13305</c:v>
                </c:pt>
                <c:pt idx="4">
                  <c:v>7087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11-4A7A-963E-DE38AFB2A511}"/>
            </c:ext>
          </c:extLst>
        </c:ser>
        <c:ser>
          <c:idx val="2"/>
          <c:order val="2"/>
          <c:tx>
            <c:strRef>
              <c:f>'CARGA '!$B$50</c:f>
              <c:strCache>
                <c:ptCount val="1"/>
                <c:pt idx="0">
                  <c:v>COPA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'!$C$47:$N$47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'CARGA '!$C$50:$N$50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11-4A7A-963E-DE38AFB2A51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6207888"/>
        <c:axId val="106211128"/>
      </c:barChart>
      <c:catAx>
        <c:axId val="106207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211128"/>
        <c:crosses val="autoZero"/>
        <c:auto val="0"/>
        <c:lblAlgn val="ctr"/>
        <c:lblOffset val="100"/>
        <c:noMultiLvlLbl val="0"/>
      </c:catAx>
      <c:valAx>
        <c:axId val="106211128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207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legendEntry>
      <c:layout>
        <c:manualLayout>
          <c:xMode val="edge"/>
          <c:yMode val="edge"/>
          <c:x val="0.40257817140975521"/>
          <c:y val="0.91551202914040175"/>
          <c:w val="0.21452229490421951"/>
          <c:h val="6.83895364143311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ln>
                <a:gradFill>
                  <a:gsLst>
                    <a:gs pos="0">
                      <a:schemeClr val="accent1">
                        <a:lumMod val="5000"/>
                        <a:lumOff val="95000"/>
                      </a:schemeClr>
                    </a:gs>
                    <a:gs pos="74000">
                      <a:schemeClr val="accent1">
                        <a:lumMod val="45000"/>
                        <a:lumOff val="55000"/>
                      </a:schemeClr>
                    </a:gs>
                    <a:gs pos="83000">
                      <a:schemeClr val="accent1">
                        <a:lumMod val="45000"/>
                        <a:lumOff val="55000"/>
                      </a:schemeClr>
                    </a:gs>
                    <a:gs pos="100000">
                      <a:schemeClr val="accent1">
                        <a:lumMod val="30000"/>
                        <a:lumOff val="70000"/>
                      </a:schemeClr>
                    </a:gs>
                  </a:gsLst>
                  <a:lin ang="5400000" scaled="1"/>
                </a:gradFill>
              </a:ln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</a:rPr>
              <a:t>VOLUMEN DE CARGA SEGUNDO SEMESTRE AÑO 2026  ( JULIO - DICIEMBRE) </a:t>
            </a:r>
          </a:p>
        </c:rich>
      </c:tx>
      <c:layout>
        <c:manualLayout>
          <c:xMode val="edge"/>
          <c:yMode val="edge"/>
          <c:x val="0.12648115932514936"/>
          <c:y val="3.83299192829675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'CARGA '!$C$17:$C$18</c:f>
              <c:strCache>
                <c:ptCount val="2"/>
                <c:pt idx="0">
                  <c:v>VOLUMEN DE CARGA SEGUNDO SEMESTRE AÑO 2026  ( JULIO - DICIEMBRE)</c:v>
                </c:pt>
                <c:pt idx="1">
                  <c:v>TOTAL EN KILOS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'!$B$19:$B$22</c:f>
              <c:strCache>
                <c:ptCount val="4"/>
                <c:pt idx="0">
                  <c:v>COPA</c:v>
                </c:pt>
                <c:pt idx="1">
                  <c:v>LATAM</c:v>
                </c:pt>
                <c:pt idx="2">
                  <c:v>DEPRISA</c:v>
                </c:pt>
                <c:pt idx="3">
                  <c:v>TOTAL</c:v>
                </c:pt>
              </c:strCache>
            </c:strRef>
          </c:cat>
          <c:val>
            <c:numRef>
              <c:f>'CARGA '!$C$19:$C$22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8F-4676-BA26-C27B54840B1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6193848"/>
        <c:axId val="106195648"/>
      </c:lineChart>
      <c:catAx>
        <c:axId val="106193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195648"/>
        <c:crosses val="autoZero"/>
        <c:auto val="1"/>
        <c:lblAlgn val="ctr"/>
        <c:lblOffset val="100"/>
        <c:noMultiLvlLbl val="0"/>
      </c:catAx>
      <c:valAx>
        <c:axId val="106195648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193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PASAJEROS INTERNACIONALES SALIDOS POR AEROLINEAS</a:t>
            </a:r>
          </a:p>
        </c:rich>
      </c:tx>
      <c:layout>
        <c:manualLayout>
          <c:xMode val="edge"/>
          <c:yMode val="edge"/>
          <c:x val="0.17585517059444247"/>
          <c:y val="1.3296396571832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545760166671176"/>
          <c:y val="8.1156884801164564E-2"/>
          <c:w val="0.64403359127682025"/>
          <c:h val="0.915150813816004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26E9-4941-9952-2F4B5C9D329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26E9-4941-9952-2F4B5C9D329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26E9-4941-9952-2F4B5C9D329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A6F6-45B9-886D-71494871EBB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84A8-46BD-B70D-01E59D8CD4C8}"/>
              </c:ext>
            </c:extLst>
          </c:dPt>
          <c:dPt>
            <c:idx val="5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84A8-46BD-B70D-01E59D8CD4C8}"/>
              </c:ext>
            </c:extLst>
          </c:dPt>
          <c:dPt>
            <c:idx val="6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84A8-46BD-B70D-01E59D8CD4C8}"/>
              </c:ext>
            </c:extLst>
          </c:dPt>
          <c:dLbls>
            <c:dLbl>
              <c:idx val="0"/>
              <c:layout>
                <c:manualLayout>
                  <c:x val="2.3666505897059677E-2"/>
                  <c:y val="0.15479327286386391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AVIANCA </a:t>
                    </a:r>
                    <a:fld id="{BFE43635-BE36-43F4-8EC5-CE64F2538A87}" type="PERCENTAGE">
                      <a:rPr lang="en-US"/>
                      <a:pPr>
                        <a:defRPr/>
                      </a:pPr>
                      <a:t>[PORCENTAJE]</a:t>
                    </a:fld>
                    <a:endParaRPr lang="en-US"/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6E9-4941-9952-2F4B5C9D3290}"/>
                </c:ext>
              </c:extLst>
            </c:dLbl>
            <c:dLbl>
              <c:idx val="1"/>
              <c:layout>
                <c:manualLayout>
                  <c:x val="-5.59390139385047E-2"/>
                  <c:y val="9.5690386861297688E-2"/>
                </c:manualLayout>
              </c:layout>
              <c:tx>
                <c:rich>
                  <a:bodyPr rot="0" spcFirstLastPara="1" vertOverflow="clip" horzOverflow="clip" vert="horz" wrap="square" lIns="36576" tIns="18288" rIns="36576" bIns="18288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COPA </a:t>
                    </a:r>
                    <a:fld id="{D4C8CE97-1C09-4386-A978-C99004827DB2}" type="PERCENTA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/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accent2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26E9-4941-9952-2F4B5C9D3290}"/>
                </c:ext>
              </c:extLst>
            </c:dLbl>
            <c:dLbl>
              <c:idx val="2"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LATAM </a:t>
                    </a:r>
                    <a:fld id="{68EA809F-73D5-45F3-A314-5BCB8FD149E4}" type="PERCENTA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/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accent3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6E9-4941-9952-2F4B5C9D3290}"/>
                </c:ext>
              </c:extLst>
            </c:dLbl>
            <c:dLbl>
              <c:idx val="3"/>
              <c:layout>
                <c:manualLayout>
                  <c:x val="-0.20077108423937773"/>
                  <c:y val="5.6145082404979979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4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A-A6F6-45B9-886D-71494871EBB2}"/>
                </c:ext>
              </c:extLst>
            </c:dLbl>
            <c:dLbl>
              <c:idx val="4"/>
              <c:layout>
                <c:manualLayout>
                  <c:x val="4.731369911214172E-2"/>
                  <c:y val="-2.3570904626512752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5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8-84A8-46BD-B70D-01E59D8CD4C8}"/>
                </c:ext>
              </c:extLst>
            </c:dLbl>
            <c:dLbl>
              <c:idx val="5"/>
              <c:layout>
                <c:manualLayout>
                  <c:x val="-0.21476500987580838"/>
                  <c:y val="-3.4828490253507545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84A8-46BD-B70D-01E59D8CD4C8}"/>
                </c:ext>
              </c:extLst>
            </c:dLbl>
            <c:dLbl>
              <c:idx val="6"/>
              <c:layout>
                <c:manualLayout>
                  <c:x val="0.14172560846383361"/>
                  <c:y val="-3.5532202984174935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1">
                      <a:lumMod val="60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A-84A8-46BD-B70D-01E59D8CD4C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4472C4"/>
                </a:solidFill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'ESTADISTICAS AEROLINEAS '!$B$28:$B$34</c:f>
              <c:strCache>
                <c:ptCount val="7"/>
                <c:pt idx="0">
                  <c:v>AVIANCA</c:v>
                </c:pt>
                <c:pt idx="1">
                  <c:v>COPA</c:v>
                </c:pt>
                <c:pt idx="2">
                  <c:v>LATAM</c:v>
                </c:pt>
                <c:pt idx="3">
                  <c:v>JETSMART</c:v>
                </c:pt>
                <c:pt idx="4">
                  <c:v>CLIC</c:v>
                </c:pt>
                <c:pt idx="5">
                  <c:v>AVIACIÓN GENERAL</c:v>
                </c:pt>
                <c:pt idx="6">
                  <c:v>AVIACION ESTATAL</c:v>
                </c:pt>
              </c:strCache>
            </c:strRef>
          </c:cat>
          <c:val>
            <c:numRef>
              <c:f>'ESTADISTICAS AEROLINEAS '!$C$28:$C$34</c:f>
              <c:numCache>
                <c:formatCode>#,##0</c:formatCode>
                <c:ptCount val="7"/>
                <c:pt idx="0">
                  <c:v>11470</c:v>
                </c:pt>
                <c:pt idx="1">
                  <c:v>9726</c:v>
                </c:pt>
                <c:pt idx="2">
                  <c:v>1584</c:v>
                </c:pt>
                <c:pt idx="3">
                  <c:v>0</c:v>
                </c:pt>
                <c:pt idx="4">
                  <c:v>1312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E9-4941-9952-2F4B5C9D329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PASAJEROS NACIONALES SALIDOS POR AEROLINEA</a:t>
            </a:r>
            <a:endParaRPr lang="es-CO"/>
          </a:p>
        </c:rich>
      </c:tx>
      <c:layout>
        <c:manualLayout>
          <c:xMode val="edge"/>
          <c:yMode val="edge"/>
          <c:x val="0.18075128803074286"/>
          <c:y val="2.10234270503635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1220363520096623E-2"/>
          <c:y val="0.10219089171087664"/>
          <c:w val="0.9246301074218316"/>
          <c:h val="0.84010849872027205"/>
        </c:manualLayout>
      </c:layout>
      <c:pie3DChart>
        <c:varyColors val="1"/>
        <c:ser>
          <c:idx val="0"/>
          <c:order val="0"/>
          <c:tx>
            <c:strRef>
              <c:f>'ESTADISTICAS AEROLINEAS '!$C$16</c:f>
              <c:strCache>
                <c:ptCount val="1"/>
                <c:pt idx="0">
                  <c:v>PAX. NACIONALES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7F83-4B01-BAB7-E76DA01051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7F83-4B01-BAB7-E76DA010516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7F83-4B01-BAB7-E76DA010516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7F83-4B01-BAB7-E76DA010516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7F83-4B01-BAB7-E76DA010516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7F83-4B01-BAB7-E76DA010516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CC71-4C1B-8A15-B404B6B311E9}"/>
              </c:ext>
            </c:extLst>
          </c:dPt>
          <c:dLbls>
            <c:dLbl>
              <c:idx val="0"/>
              <c:layout>
                <c:manualLayout>
                  <c:x val="-0.10602743497626417"/>
                  <c:y val="0.2395423539407291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7F83-4B01-BAB7-E76DA0105160}"/>
                </c:ext>
              </c:extLst>
            </c:dLbl>
            <c:dLbl>
              <c:idx val="1"/>
              <c:layout>
                <c:manualLayout>
                  <c:x val="-3.3838543077531126E-2"/>
                  <c:y val="5.6521441509640197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2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7F83-4B01-BAB7-E76DA0105160}"/>
                </c:ext>
              </c:extLst>
            </c:dLbl>
            <c:dLbl>
              <c:idx val="2"/>
              <c:layout>
                <c:manualLayout>
                  <c:x val="-4.0606251693037346E-2"/>
                  <c:y val="-2.6914871229295416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3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7F83-4B01-BAB7-E76DA0105160}"/>
                </c:ext>
              </c:extLst>
            </c:dLbl>
            <c:dLbl>
              <c:idx val="3"/>
              <c:layout>
                <c:manualLayout>
                  <c:x val="-0.11279514359177044"/>
                  <c:y val="-8.0744613687886244E-3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4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7F83-4B01-BAB7-E76DA0105160}"/>
                </c:ext>
              </c:extLst>
            </c:dLbl>
            <c:dLbl>
              <c:idx val="4"/>
              <c:layout>
                <c:manualLayout>
                  <c:x val="-6.767708615506224E-3"/>
                  <c:y val="-3.4989332598084046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5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7F83-4B01-BAB7-E76DA0105160}"/>
                </c:ext>
              </c:extLst>
            </c:dLbl>
            <c:dLbl>
              <c:idx val="5"/>
              <c:layout>
                <c:manualLayout>
                  <c:x val="0.38919244894243449"/>
                  <c:y val="2.9856221605605558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7F83-4B01-BAB7-E76DA0105160}"/>
                </c:ext>
              </c:extLst>
            </c:dLbl>
            <c:dLbl>
              <c:idx val="6"/>
              <c:layout>
                <c:manualLayout>
                  <c:x val="0.21140900673662325"/>
                  <c:y val="-2.1531896983436334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1">
                      <a:lumMod val="60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CC71-4C1B-8A15-B404B6B311E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'ESTADISTICAS AEROLINEAS '!$B$17:$B$23</c:f>
              <c:strCache>
                <c:ptCount val="7"/>
                <c:pt idx="0">
                  <c:v>AVIANCA</c:v>
                </c:pt>
                <c:pt idx="1">
                  <c:v>LATAM</c:v>
                </c:pt>
                <c:pt idx="2">
                  <c:v>JETSMART</c:v>
                </c:pt>
                <c:pt idx="3">
                  <c:v>CLIC</c:v>
                </c:pt>
                <c:pt idx="4">
                  <c:v>COPA</c:v>
                </c:pt>
                <c:pt idx="5">
                  <c:v>AVIACIÓN GENERAL</c:v>
                </c:pt>
                <c:pt idx="6">
                  <c:v>AVIACIÓN ESTATAL</c:v>
                </c:pt>
              </c:strCache>
            </c:strRef>
          </c:cat>
          <c:val>
            <c:numRef>
              <c:f>'ESTADISTICAS AEROLINEAS '!$C$17:$C$23</c:f>
              <c:numCache>
                <c:formatCode>#,##0</c:formatCode>
                <c:ptCount val="7"/>
                <c:pt idx="0">
                  <c:v>46689</c:v>
                </c:pt>
                <c:pt idx="1">
                  <c:v>16284</c:v>
                </c:pt>
                <c:pt idx="2">
                  <c:v>17696</c:v>
                </c:pt>
                <c:pt idx="3">
                  <c:v>3196</c:v>
                </c:pt>
                <c:pt idx="4">
                  <c:v>0</c:v>
                </c:pt>
                <c:pt idx="5">
                  <c:v>64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CE-469B-9F72-98497930A5C6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solidFill>
                  <a:sysClr val="windowText" lastClr="000000"/>
                </a:solidFill>
                <a:effectLst/>
              </a:rPr>
              <a:t>MOVIMIENTO DE OPERACIONES POR </a:t>
            </a:r>
            <a:r>
              <a:rPr lang="en-US" sz="1200" b="1" i="0" u="none" baseline="0">
                <a:solidFill>
                  <a:sysClr val="windowText" lastClr="000000"/>
                </a:solidFill>
                <a:effectLst/>
              </a:rPr>
              <a:t>AEROLÍNEA - PROCEDENCIA </a:t>
            </a:r>
            <a:endParaRPr lang="es-CO" sz="1200" u="none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12051499995799722"/>
          <c:y val="6.04086144861031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'DESTINO Y PROCE '!$C$116</c:f>
              <c:strCache>
                <c:ptCount val="1"/>
                <c:pt idx="0">
                  <c:v>PROCEDENCIA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'DESTINO Y PROCE '!$B$117:$B$123</c:f>
              <c:strCache>
                <c:ptCount val="7"/>
                <c:pt idx="0">
                  <c:v>AVIANCA</c:v>
                </c:pt>
                <c:pt idx="1">
                  <c:v>GENERAL</c:v>
                </c:pt>
                <c:pt idx="2">
                  <c:v>LATAM</c:v>
                </c:pt>
                <c:pt idx="3">
                  <c:v>CLIC</c:v>
                </c:pt>
                <c:pt idx="4">
                  <c:v>JETSMART</c:v>
                </c:pt>
                <c:pt idx="5">
                  <c:v>COPA</c:v>
                </c:pt>
                <c:pt idx="6">
                  <c:v>ESTATAL</c:v>
                </c:pt>
              </c:strCache>
            </c:strRef>
          </c:cat>
          <c:val>
            <c:numRef>
              <c:f>'DESTINO Y PROCE '!$C$117:$C$123</c:f>
              <c:numCache>
                <c:formatCode>0</c:formatCode>
                <c:ptCount val="7"/>
                <c:pt idx="0">
                  <c:v>398</c:v>
                </c:pt>
                <c:pt idx="1">
                  <c:v>205</c:v>
                </c:pt>
                <c:pt idx="2">
                  <c:v>151</c:v>
                </c:pt>
                <c:pt idx="3">
                  <c:v>181</c:v>
                </c:pt>
                <c:pt idx="4">
                  <c:v>110</c:v>
                </c:pt>
                <c:pt idx="5">
                  <c:v>64</c:v>
                </c:pt>
                <c:pt idx="6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16-4A36-BD82-8F73498693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42954912"/>
        <c:axId val="642952616"/>
        <c:axId val="564915592"/>
      </c:bar3DChart>
      <c:catAx>
        <c:axId val="642954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42952616"/>
        <c:crosses val="autoZero"/>
        <c:auto val="1"/>
        <c:lblAlgn val="ctr"/>
        <c:lblOffset val="100"/>
        <c:noMultiLvlLbl val="0"/>
      </c:catAx>
      <c:valAx>
        <c:axId val="642952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42954912"/>
        <c:crosses val="autoZero"/>
        <c:crossBetween val="between"/>
      </c:valAx>
      <c:serAx>
        <c:axId val="5649155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42952616"/>
        <c:crosses val="autoZero"/>
      </c:ser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0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MOVIMIENTO DE OPERACIONES POR AEROLÍNEA</a:t>
            </a:r>
            <a:endParaRPr lang="en-US" sz="1000" b="1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7878042495149432"/>
          <c:y val="4.33048372601942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'DESTINO Y PROCE '!$C$126</c:f>
              <c:strCache>
                <c:ptCount val="1"/>
                <c:pt idx="0">
                  <c:v>DESTINO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'DESTINO Y PROCE '!$B$127:$B$133</c:f>
              <c:strCache>
                <c:ptCount val="7"/>
                <c:pt idx="0">
                  <c:v>AVIANCA</c:v>
                </c:pt>
                <c:pt idx="1">
                  <c:v>GENERAL</c:v>
                </c:pt>
                <c:pt idx="2">
                  <c:v>LATAM</c:v>
                </c:pt>
                <c:pt idx="3">
                  <c:v>CLIC</c:v>
                </c:pt>
                <c:pt idx="4">
                  <c:v>JETSMART</c:v>
                </c:pt>
                <c:pt idx="5">
                  <c:v>COPA</c:v>
                </c:pt>
                <c:pt idx="6">
                  <c:v>ESTATAL</c:v>
                </c:pt>
              </c:strCache>
            </c:strRef>
          </c:cat>
          <c:val>
            <c:numRef>
              <c:f>'DESTINO Y PROCE '!$C$127:$C$133</c:f>
              <c:numCache>
                <c:formatCode>0</c:formatCode>
                <c:ptCount val="7"/>
                <c:pt idx="0">
                  <c:v>398</c:v>
                </c:pt>
                <c:pt idx="1">
                  <c:v>209</c:v>
                </c:pt>
                <c:pt idx="2">
                  <c:v>151</c:v>
                </c:pt>
                <c:pt idx="3">
                  <c:v>181</c:v>
                </c:pt>
                <c:pt idx="4">
                  <c:v>110</c:v>
                </c:pt>
                <c:pt idx="5">
                  <c:v>64</c:v>
                </c:pt>
                <c:pt idx="6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E7-4C01-AD3D-7A7D665E04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64026040"/>
        <c:axId val="564023416"/>
        <c:axId val="0"/>
      </c:bar3DChart>
      <c:catAx>
        <c:axId val="564026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64023416"/>
        <c:crosses val="autoZero"/>
        <c:auto val="1"/>
        <c:lblAlgn val="ctr"/>
        <c:lblOffset val="100"/>
        <c:noMultiLvlLbl val="0"/>
      </c:catAx>
      <c:valAx>
        <c:axId val="564023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640260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OPERACIONES COMERCIALES NACIONALES POR DESTINO Y PROCEDENCIA </a:t>
            </a:r>
          </a:p>
        </c:rich>
      </c:tx>
      <c:layout>
        <c:manualLayout>
          <c:xMode val="edge"/>
          <c:yMode val="edge"/>
          <c:x val="0.14282491284334142"/>
          <c:y val="3.90733562651272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933621438708579"/>
          <c:y val="0.24755865125546495"/>
          <c:w val="0.83630939066707266"/>
          <c:h val="0.62143964466748869"/>
        </c:manualLayout>
      </c:layout>
      <c:pie3DChart>
        <c:varyColors val="1"/>
        <c:ser>
          <c:idx val="0"/>
          <c:order val="0"/>
          <c:tx>
            <c:strRef>
              <c:f>'DESTINO Y PROCE '!$C$137</c:f>
              <c:strCache>
                <c:ptCount val="1"/>
                <c:pt idx="0">
                  <c:v>DESTINO Y PROCEDENCIA</c:v>
                </c:pt>
              </c:strCache>
            </c:strRef>
          </c:tx>
          <c:explosion val="3"/>
          <c:dPt>
            <c:idx val="0"/>
            <c:bubble3D val="0"/>
            <c:explosion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7934-4A50-A244-32ED2E931B3C}"/>
              </c:ext>
            </c:extLst>
          </c:dPt>
          <c:dPt>
            <c:idx val="1"/>
            <c:bubble3D val="0"/>
            <c:explosion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7934-4A50-A244-32ED2E931B3C}"/>
              </c:ext>
            </c:extLst>
          </c:dPt>
          <c:dPt>
            <c:idx val="2"/>
            <c:bubble3D val="0"/>
            <c:explosion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7934-4A50-A244-32ED2E931B3C}"/>
              </c:ext>
            </c:extLst>
          </c:dPt>
          <c:dPt>
            <c:idx val="3"/>
            <c:bubble3D val="0"/>
            <c:explosion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7934-4A50-A244-32ED2E931B3C}"/>
              </c:ext>
            </c:extLst>
          </c:dPt>
          <c:dLbls>
            <c:dLbl>
              <c:idx val="0"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6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D66123C-6678-45D1-9749-44E3D4A02FF4}" type="CATEGORYNAME">
                      <a:rPr lang="en-US" b="1"/>
                      <a:pPr>
                        <a:defRPr/>
                      </a:pPr>
                      <a:t>[NOMBRE DE CATEGORÍA]</a:t>
                    </a:fld>
                    <a:r>
                      <a:rPr lang="en-US" b="1" baseline="0"/>
                      <a:t>
</a:t>
                    </a:r>
                    <a:fld id="{5EA3CEFB-8978-465B-9B1C-7943664C4374}" type="PERCENTAGE">
                      <a:rPr lang="en-US" b="1" baseline="0"/>
                      <a:pPr>
                        <a:defRPr/>
                      </a:pPr>
                      <a:t>[PORCENTAJE]</a:t>
                    </a:fld>
                    <a:endParaRPr lang="en-US" b="1" baseline="0"/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934-4A50-A244-32ED2E931B3C}"/>
                </c:ext>
              </c:extLst>
            </c:dLbl>
            <c:dLbl>
              <c:idx val="1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7934-4A50-A244-32ED2E931B3C}"/>
                </c:ext>
              </c:extLst>
            </c:dLbl>
            <c:dLbl>
              <c:idx val="2"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6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87A28FB-7BF2-4041-B9EC-79BA7A78B4E1}" type="CATEGORYNAME">
                      <a:rPr lang="en-US" b="1"/>
                      <a:pPr>
                        <a:defRPr>
                          <a:solidFill>
                            <a:schemeClr val="accent6"/>
                          </a:solidFill>
                        </a:defRPr>
                      </a:pPr>
                      <a:t>[NOMBRE DE CATEGORÍA]</a:t>
                    </a:fld>
                    <a:r>
                      <a:rPr lang="en-US" b="1" baseline="0"/>
                      <a:t>
</a:t>
                    </a:r>
                    <a:fld id="{9F283B17-23C8-4DCD-A7BD-0091E226C7ED}" type="PERCENTAGE">
                      <a:rPr lang="en-US" b="1" baseline="0"/>
                      <a:pPr>
                        <a:defRPr>
                          <a:solidFill>
                            <a:schemeClr val="accent6"/>
                          </a:solidFill>
                        </a:defRPr>
                      </a:pPr>
                      <a:t>[PORCENTAJE]</a:t>
                    </a:fld>
                    <a:endParaRPr lang="en-US" b="1" baseline="0"/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7934-4A50-A244-32ED2E931B3C}"/>
                </c:ext>
              </c:extLst>
            </c:dLbl>
            <c:dLbl>
              <c:idx val="3"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6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94B4BA1-A4A8-40F8-9140-D3173C51D519}" type="CATEGORYNAME">
                      <a:rPr lang="en-US" b="1"/>
                      <a:pPr>
                        <a:defRPr>
                          <a:solidFill>
                            <a:schemeClr val="accent6"/>
                          </a:solidFill>
                        </a:defRPr>
                      </a:pPr>
                      <a:t>[NOMBRE DE CATEGORÍA]</a:t>
                    </a:fld>
                    <a:r>
                      <a:rPr lang="en-US" b="1" baseline="0"/>
                      <a:t>
</a:t>
                    </a:r>
                    <a:fld id="{51530DF1-FF6D-4789-883E-00A5036173B7}" type="PERCENTAGE">
                      <a:rPr lang="en-US" b="1" baseline="0"/>
                      <a:pPr>
                        <a:defRPr>
                          <a:solidFill>
                            <a:schemeClr val="accent6"/>
                          </a:solidFill>
                        </a:defRPr>
                      </a:pPr>
                      <a:t>[PORCENTAJE]</a:t>
                    </a:fld>
                    <a:endParaRPr lang="en-US" b="1" baseline="0"/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7934-4A50-A244-32ED2E931B3C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70AD47"/>
                </a:solidFill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'DESTINO Y PROCE '!$B$138:$B$141</c:f>
              <c:strCache>
                <c:ptCount val="4"/>
                <c:pt idx="0">
                  <c:v>LATAM</c:v>
                </c:pt>
                <c:pt idx="1">
                  <c:v>AVIANCA</c:v>
                </c:pt>
                <c:pt idx="2">
                  <c:v>CLIC</c:v>
                </c:pt>
                <c:pt idx="3">
                  <c:v>JETSMART</c:v>
                </c:pt>
              </c:strCache>
            </c:strRef>
          </c:cat>
          <c:val>
            <c:numRef>
              <c:f>'DESTINO Y PROCE '!$C$138:$C$141</c:f>
              <c:numCache>
                <c:formatCode>#,##0</c:formatCode>
                <c:ptCount val="4"/>
                <c:pt idx="0">
                  <c:v>302</c:v>
                </c:pt>
                <c:pt idx="1">
                  <c:v>796</c:v>
                </c:pt>
                <c:pt idx="2">
                  <c:v>362</c:v>
                </c:pt>
                <c:pt idx="3">
                  <c:v>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934-4A50-A244-32ED2E931B3C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/>
              <a:t>OPERACIONES COMERCIALES INTERNACIONALES POR DESTINO Y PROCEDENCIA</a:t>
            </a:r>
            <a:endParaRPr lang="es-CO" sz="1000"/>
          </a:p>
        </c:rich>
      </c:tx>
      <c:layout>
        <c:manualLayout>
          <c:xMode val="edge"/>
          <c:yMode val="edge"/>
          <c:x val="0.13892231662483168"/>
          <c:y val="5.92448303564550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2772742716053E-3"/>
          <c:y val="0.23145643662151566"/>
          <c:w val="0.93888888888888888"/>
          <c:h val="0.6714577865266842"/>
        </c:manualLayout>
      </c:layout>
      <c:pie3DChart>
        <c:varyColors val="1"/>
        <c:ser>
          <c:idx val="0"/>
          <c:order val="0"/>
          <c:tx>
            <c:strRef>
              <c:f>'DESTINO Y PROCE '!$C$147</c:f>
              <c:strCache>
                <c:ptCount val="1"/>
                <c:pt idx="0">
                  <c:v>DESTINO Y PROCEDENCIA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F478-4260-9E0E-ECB6FACECDD4}"/>
              </c:ext>
            </c:extLst>
          </c:dPt>
          <c:dLbls>
            <c:dLbl>
              <c:idx val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F478-4260-9E0E-ECB6FACECDD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70AD47"/>
                </a:solidFill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'DESTINO Y PROCE '!$B$148:$B$149</c15:sqref>
                  </c15:fullRef>
                </c:ext>
              </c:extLst>
              <c:f>'DESTINO Y PROCE '!$B$148</c:f>
              <c:strCache>
                <c:ptCount val="1"/>
                <c:pt idx="0">
                  <c:v>COPA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'DESTINO Y PROCE '!$C$148:$C$149</c15:sqref>
                  </c15:fullRef>
                </c:ext>
              </c:extLst>
              <c:f>'DESTINO Y PROCE '!$C$148</c:f>
              <c:numCache>
                <c:formatCode>0</c:formatCode>
                <c:ptCount val="1"/>
                <c:pt idx="0">
                  <c:v>128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'DESTINO Y PROCE '!$C$149</c15:sqref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4-F478-4260-9E0E-ECB6FACECDD4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PASAJEROS NACIONALES POR PROCEDENCIA </a:t>
            </a:r>
            <a:endParaRPr lang="es-CO" sz="1100"/>
          </a:p>
        </c:rich>
      </c:tx>
      <c:layout>
        <c:manualLayout>
          <c:xMode val="edge"/>
          <c:yMode val="edge"/>
          <c:x val="0.30398970564339023"/>
          <c:y val="2.5684490079818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264435164873752"/>
          <c:y val="0.15537985508759128"/>
          <c:w val="0.69471129670252496"/>
          <c:h val="0.77693716914060873"/>
        </c:manualLayout>
      </c:layout>
      <c:pie3DChart>
        <c:varyColors val="1"/>
        <c:ser>
          <c:idx val="0"/>
          <c:order val="0"/>
          <c:tx>
            <c:strRef>
              <c:f>'DESTINO Y PROCE '!$C$37</c:f>
              <c:strCache>
                <c:ptCount val="1"/>
                <c:pt idx="0">
                  <c:v>PAX. NACIONALES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5474-47B5-857F-18324ABC7AD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5474-47B5-857F-18324ABC7AD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5474-47B5-857F-18324ABC7AD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5474-47B5-857F-18324ABC7AD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F0C5-4AAE-9A73-DEC9B9B3EF2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F1CF-4683-BB31-72C003A063B7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DB6C13F-7B68-4D7A-ADE3-E82DA5ECC2C6}" type="CATEGORYNAME">
                      <a:rPr lang="en-US" sz="1100" b="1"/>
                      <a:pPr>
                        <a:defRPr/>
                      </a:pPr>
                      <a:t>[NOMBRE DE CATEGORÍA]</a:t>
                    </a:fld>
                    <a:r>
                      <a:rPr lang="en-US" sz="1100" b="1"/>
                      <a:t>
</a:t>
                    </a:r>
                    <a:fld id="{C85C0C69-6A89-47B8-999A-FCD18EAEB22F}" type="PERCENTAGE">
                      <a:rPr lang="en-US" sz="1100" b="1"/>
                      <a:pPr>
                        <a:defRPr/>
                      </a:pPr>
                      <a:t>[PORCENTAJE]</a:t>
                    </a:fld>
                    <a:endParaRPr lang="en-US" sz="1100" b="1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474-47B5-857F-18324ABC7ADE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56A142D-3651-4924-9291-536D6D9F6648}" type="CATEGORYNAME">
                      <a:rPr lang="en-US" sz="900" b="1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r>
                      <a:rPr lang="en-US" sz="900" b="1"/>
                      <a:t>
</a:t>
                    </a:r>
                    <a:fld id="{6EE762EF-1455-4D46-8F07-CF65A42C3A57}" type="PERCENTAGE">
                      <a:rPr lang="en-US" sz="900" b="1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 sz="900" b="1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5474-47B5-857F-18324ABC7ADE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1A13EEE-C838-4DC4-AE73-F11FF5EB6DF2}" type="CATEGORYNAME">
                      <a:rPr lang="en-US" sz="900" b="1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r>
                      <a:rPr lang="en-US" sz="900" b="1"/>
                      <a:t>
</a:t>
                    </a:r>
                    <a:fld id="{0DBA6E8C-8B70-457A-AAF9-7938A79C1DDC}" type="PERCENTAGE">
                      <a:rPr lang="en-US" sz="900" b="1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 sz="900" b="1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5474-47B5-857F-18324ABC7ADE}"/>
                </c:ext>
              </c:extLst>
            </c:dLbl>
            <c:dLbl>
              <c:idx val="3"/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5474-47B5-857F-18324ABC7ADE}"/>
                </c:ext>
              </c:extLst>
            </c:dLbl>
            <c:dLbl>
              <c:idx val="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6BC370F-064F-48BE-95E6-489855197219}" type="CATEGORYNAME">
                      <a:rPr lang="en-US" sz="900" b="1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r>
                      <a:rPr lang="en-US" sz="900" b="1"/>
                      <a:t>
</a:t>
                    </a:r>
                    <a:fld id="{228EFB72-E0B5-47D2-A297-CB1B4EB57B6F}" type="PERCENTAGE">
                      <a:rPr lang="en-US" sz="900" b="1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 sz="900" b="1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F0C5-4AAE-9A73-DEC9B9B3EF25}"/>
                </c:ext>
              </c:extLst>
            </c:dLbl>
            <c:dLbl>
              <c:idx val="5"/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F1CF-4683-BB31-72C003A063B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'DESTINO Y PROCE '!$B$38:$B$43</c:f>
              <c:strCache>
                <c:ptCount val="6"/>
                <c:pt idx="0">
                  <c:v>BOGOTÁ</c:v>
                </c:pt>
                <c:pt idx="1">
                  <c:v>RIO NEGRO</c:v>
                </c:pt>
                <c:pt idx="2">
                  <c:v>CARTAGENA</c:v>
                </c:pt>
                <c:pt idx="3">
                  <c:v>MEDELLIN</c:v>
                </c:pt>
                <c:pt idx="4">
                  <c:v>SANTA MARTA</c:v>
                </c:pt>
                <c:pt idx="5">
                  <c:v>OTROS DESTINOS</c:v>
                </c:pt>
              </c:strCache>
            </c:strRef>
          </c:cat>
          <c:val>
            <c:numRef>
              <c:f>'DESTINO Y PROCE '!$C$38:$C$43</c:f>
              <c:numCache>
                <c:formatCode>#,##0</c:formatCode>
                <c:ptCount val="6"/>
                <c:pt idx="0">
                  <c:v>74052</c:v>
                </c:pt>
                <c:pt idx="1">
                  <c:v>4554</c:v>
                </c:pt>
                <c:pt idx="2">
                  <c:v>9003</c:v>
                </c:pt>
                <c:pt idx="3">
                  <c:v>5571</c:v>
                </c:pt>
                <c:pt idx="4">
                  <c:v>4027</c:v>
                </c:pt>
                <c:pt idx="5">
                  <c:v>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474-47B5-857F-18324ABC7ADE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10" Type="http://schemas.openxmlformats.org/officeDocument/2006/relationships/chart" Target="../charts/chart14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4" Type="http://schemas.openxmlformats.org/officeDocument/2006/relationships/chart" Target="../charts/chart18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3.xml"/><Relationship Id="rId3" Type="http://schemas.openxmlformats.org/officeDocument/2006/relationships/image" Target="../media/image3.png"/><Relationship Id="rId7" Type="http://schemas.openxmlformats.org/officeDocument/2006/relationships/chart" Target="../charts/chart22.xml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783543</xdr:colOff>
      <xdr:row>35</xdr:row>
      <xdr:rowOff>179918</xdr:rowOff>
    </xdr:from>
    <xdr:to>
      <xdr:col>10</xdr:col>
      <xdr:colOff>1039812</xdr:colOff>
      <xdr:row>58</xdr:row>
      <xdr:rowOff>108479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1180042</xdr:colOff>
      <xdr:row>37</xdr:row>
      <xdr:rowOff>140227</xdr:rowOff>
    </xdr:from>
    <xdr:to>
      <xdr:col>17</xdr:col>
      <xdr:colOff>386292</xdr:colOff>
      <xdr:row>59</xdr:row>
      <xdr:rowOff>21166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859894</xdr:colOff>
      <xdr:row>0</xdr:row>
      <xdr:rowOff>137583</xdr:rowOff>
    </xdr:from>
    <xdr:to>
      <xdr:col>19</xdr:col>
      <xdr:colOff>1</xdr:colOff>
      <xdr:row>21</xdr:row>
      <xdr:rowOff>42334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184543</xdr:colOff>
      <xdr:row>0</xdr:row>
      <xdr:rowOff>80960</xdr:rowOff>
    </xdr:from>
    <xdr:to>
      <xdr:col>10</xdr:col>
      <xdr:colOff>539749</xdr:colOff>
      <xdr:row>22</xdr:row>
      <xdr:rowOff>1322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BF637AF1-3E81-16A6-0BEE-6CB4538E47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561474</xdr:colOff>
      <xdr:row>113</xdr:row>
      <xdr:rowOff>39270</xdr:rowOff>
    </xdr:from>
    <xdr:to>
      <xdr:col>13</xdr:col>
      <xdr:colOff>300790</xdr:colOff>
      <xdr:row>128</xdr:row>
      <xdr:rowOff>150395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B6E99B2-7217-49DB-A9F1-3C9465E15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104775</xdr:colOff>
      <xdr:row>113</xdr:row>
      <xdr:rowOff>67677</xdr:rowOff>
    </xdr:from>
    <xdr:to>
      <xdr:col>18</xdr:col>
      <xdr:colOff>317500</xdr:colOff>
      <xdr:row>127</xdr:row>
      <xdr:rowOff>50132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0BAC997-5527-40A1-B1AA-DFECAEAB9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929821</xdr:colOff>
      <xdr:row>134</xdr:row>
      <xdr:rowOff>0</xdr:rowOff>
    </xdr:from>
    <xdr:to>
      <xdr:col>13</xdr:col>
      <xdr:colOff>374196</xdr:colOff>
      <xdr:row>152</xdr:row>
      <xdr:rowOff>90713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7591E7B-72C3-4D87-A477-AB7AAB0921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381000</xdr:colOff>
      <xdr:row>134</xdr:row>
      <xdr:rowOff>90237</xdr:rowOff>
    </xdr:from>
    <xdr:to>
      <xdr:col>17</xdr:col>
      <xdr:colOff>380999</xdr:colOff>
      <xdr:row>150</xdr:row>
      <xdr:rowOff>45832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DA5D5520-EB96-449D-B420-8C9039576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709083</xdr:colOff>
      <xdr:row>0</xdr:row>
      <xdr:rowOff>116419</xdr:rowOff>
    </xdr:from>
    <xdr:to>
      <xdr:col>14</xdr:col>
      <xdr:colOff>994832</xdr:colOff>
      <xdr:row>17</xdr:row>
      <xdr:rowOff>98779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0DD4069-B424-46D6-A540-A056D0F32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1597358</xdr:colOff>
      <xdr:row>0</xdr:row>
      <xdr:rowOff>163597</xdr:rowOff>
    </xdr:from>
    <xdr:to>
      <xdr:col>19</xdr:col>
      <xdr:colOff>455082</xdr:colOff>
      <xdr:row>17</xdr:row>
      <xdr:rowOff>88901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856D24D4-840E-4F54-8D15-F87461EF6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862264</xdr:colOff>
      <xdr:row>154</xdr:row>
      <xdr:rowOff>69385</xdr:rowOff>
    </xdr:from>
    <xdr:to>
      <xdr:col>14</xdr:col>
      <xdr:colOff>110289</xdr:colOff>
      <xdr:row>177</xdr:row>
      <xdr:rowOff>142635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932B760B-C661-4DAF-8BCB-7CD0E35685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782051</xdr:colOff>
      <xdr:row>157</xdr:row>
      <xdr:rowOff>70182</xdr:rowOff>
    </xdr:from>
    <xdr:to>
      <xdr:col>20</xdr:col>
      <xdr:colOff>10026</xdr:colOff>
      <xdr:row>184</xdr:row>
      <xdr:rowOff>180474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6F902C13-E2B9-4CD6-A61E-5D2081B7E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501650</xdr:colOff>
      <xdr:row>51</xdr:row>
      <xdr:rowOff>0</xdr:rowOff>
    </xdr:from>
    <xdr:to>
      <xdr:col>14</xdr:col>
      <xdr:colOff>819150</xdr:colOff>
      <xdr:row>72</xdr:row>
      <xdr:rowOff>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1371600</xdr:colOff>
      <xdr:row>51</xdr:row>
      <xdr:rowOff>82214</xdr:rowOff>
    </xdr:from>
    <xdr:to>
      <xdr:col>18</xdr:col>
      <xdr:colOff>92242</xdr:colOff>
      <xdr:row>70</xdr:row>
      <xdr:rowOff>124828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22C23A16-7A53-058B-9B9A-09D7A6BD4E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1464087</xdr:colOff>
      <xdr:row>1</xdr:row>
      <xdr:rowOff>242816</xdr:rowOff>
    </xdr:from>
    <xdr:to>
      <xdr:col>26</xdr:col>
      <xdr:colOff>317501</xdr:colOff>
      <xdr:row>24</xdr:row>
      <xdr:rowOff>27608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5EA60AE-254D-4990-A9C8-2986D85C3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58</xdr:row>
      <xdr:rowOff>193259</xdr:rowOff>
    </xdr:from>
    <xdr:to>
      <xdr:col>21</xdr:col>
      <xdr:colOff>524567</xdr:colOff>
      <xdr:row>70</xdr:row>
      <xdr:rowOff>193261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D6D7539-3FA1-4942-9C01-1D3C591DF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429659</xdr:colOff>
      <xdr:row>30</xdr:row>
      <xdr:rowOff>47624</xdr:rowOff>
    </xdr:from>
    <xdr:to>
      <xdr:col>27</xdr:col>
      <xdr:colOff>142874</xdr:colOff>
      <xdr:row>52</xdr:row>
      <xdr:rowOff>11905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6531E1B-182F-4816-B90C-2409EBAFB9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40029</xdr:colOff>
      <xdr:row>59</xdr:row>
      <xdr:rowOff>27610</xdr:rowOff>
    </xdr:from>
    <xdr:to>
      <xdr:col>33</xdr:col>
      <xdr:colOff>441738</xdr:colOff>
      <xdr:row>69</xdr:row>
      <xdr:rowOff>372717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2178281-8677-81EC-04E6-3E72B005BB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23</xdr:row>
      <xdr:rowOff>9525</xdr:rowOff>
    </xdr:from>
    <xdr:to>
      <xdr:col>1</xdr:col>
      <xdr:colOff>1304925</xdr:colOff>
      <xdr:row>25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19C5779-BFDB-4C26-89B2-59FE8D6FC853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5697" b="88430"/>
        <a:stretch/>
      </xdr:blipFill>
      <xdr:spPr bwMode="auto">
        <a:xfrm>
          <a:off x="771524" y="3838575"/>
          <a:ext cx="1295401" cy="400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19049</xdr:colOff>
      <xdr:row>30</xdr:row>
      <xdr:rowOff>11120</xdr:rowOff>
    </xdr:from>
    <xdr:to>
      <xdr:col>2</xdr:col>
      <xdr:colOff>19049</xdr:colOff>
      <xdr:row>31</xdr:row>
      <xdr:rowOff>171450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FB6D5C1-D8F9-48F7-B55F-7AD35ACC7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1049" y="5497520"/>
          <a:ext cx="1323975" cy="36035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37</xdr:row>
      <xdr:rowOff>20045</xdr:rowOff>
    </xdr:from>
    <xdr:to>
      <xdr:col>2</xdr:col>
      <xdr:colOff>47625</xdr:colOff>
      <xdr:row>38</xdr:row>
      <xdr:rowOff>171450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58C3E8E-3B78-4659-9DF2-4F290E63C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1050" y="7249520"/>
          <a:ext cx="1352550" cy="351430"/>
        </a:xfrm>
        <a:prstGeom prst="rect">
          <a:avLst/>
        </a:prstGeom>
      </xdr:spPr>
    </xdr:pic>
    <xdr:clientData/>
  </xdr:twoCellAnchor>
  <xdr:twoCellAnchor>
    <xdr:from>
      <xdr:col>4</xdr:col>
      <xdr:colOff>57150</xdr:colOff>
      <xdr:row>0</xdr:row>
      <xdr:rowOff>52388</xdr:rowOff>
    </xdr:from>
    <xdr:to>
      <xdr:col>7</xdr:col>
      <xdr:colOff>466725</xdr:colOff>
      <xdr:row>9</xdr:row>
      <xdr:rowOff>57150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A501F5A-5F24-1A93-F015-336E3371E1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466724</xdr:colOff>
      <xdr:row>0</xdr:row>
      <xdr:rowOff>33337</xdr:rowOff>
    </xdr:from>
    <xdr:to>
      <xdr:col>12</xdr:col>
      <xdr:colOff>647699</xdr:colOff>
      <xdr:row>8</xdr:row>
      <xdr:rowOff>447675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9B82EAA-4ED3-6D8E-A1C6-725E9B1DD6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1076324</xdr:colOff>
      <xdr:row>10</xdr:row>
      <xdr:rowOff>180974</xdr:rowOff>
    </xdr:from>
    <xdr:to>
      <xdr:col>8</xdr:col>
      <xdr:colOff>304800</xdr:colOff>
      <xdr:row>22</xdr:row>
      <xdr:rowOff>38100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1141D61-F4FC-0535-4D8D-5EA813D4BA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761998</xdr:colOff>
      <xdr:row>44</xdr:row>
      <xdr:rowOff>0</xdr:rowOff>
    </xdr:from>
    <xdr:to>
      <xdr:col>24</xdr:col>
      <xdr:colOff>238124</xdr:colOff>
      <xdr:row>58</xdr:row>
      <xdr:rowOff>19050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6D481DCC-280B-4CD5-A8CA-0E20D2DA42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11</xdr:row>
      <xdr:rowOff>0</xdr:rowOff>
    </xdr:from>
    <xdr:to>
      <xdr:col>13</xdr:col>
      <xdr:colOff>266701</xdr:colOff>
      <xdr:row>22</xdr:row>
      <xdr:rowOff>47626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CC8C27DF-88AD-49D0-A893-A8E76DFE8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6"/>
  <sheetViews>
    <sheetView tabSelected="1" zoomScale="80" zoomScaleNormal="80" workbookViewId="0">
      <selection activeCell="C14" sqref="C14"/>
    </sheetView>
  </sheetViews>
  <sheetFormatPr baseColWidth="10" defaultColWidth="11.42578125" defaultRowHeight="15"/>
  <cols>
    <col min="2" max="2" width="47" customWidth="1"/>
    <col min="3" max="3" width="24.28515625" customWidth="1"/>
    <col min="4" max="4" width="21.5703125" bestFit="1" customWidth="1"/>
    <col min="5" max="5" width="14.7109375" bestFit="1" customWidth="1"/>
    <col min="6" max="6" width="21.5703125" bestFit="1" customWidth="1"/>
    <col min="7" max="7" width="10.42578125" customWidth="1"/>
    <col min="9" max="9" width="9.7109375" customWidth="1"/>
    <col min="11" max="11" width="20.140625" customWidth="1"/>
    <col min="14" max="14" width="7.7109375" customWidth="1"/>
    <col min="15" max="15" width="11.28515625" customWidth="1"/>
    <col min="16" max="16" width="9.5703125" customWidth="1"/>
    <col min="17" max="17" width="9.28515625" customWidth="1"/>
    <col min="18" max="18" width="9.140625" customWidth="1"/>
  </cols>
  <sheetData>
    <row r="1" spans="1:4" ht="36.75" customHeight="1">
      <c r="B1" s="362" t="s">
        <v>0</v>
      </c>
      <c r="C1" s="363"/>
      <c r="D1" s="364"/>
    </row>
    <row r="2" spans="1:4" ht="30">
      <c r="B2" s="202" t="s">
        <v>1</v>
      </c>
      <c r="C2" s="2" t="s">
        <v>2</v>
      </c>
      <c r="D2" s="326" t="s">
        <v>3</v>
      </c>
    </row>
    <row r="3" spans="1:4" ht="15.75" customHeight="1">
      <c r="B3" s="16" t="s">
        <v>4</v>
      </c>
      <c r="C3" s="327">
        <v>46689</v>
      </c>
      <c r="D3" s="310">
        <v>11470</v>
      </c>
    </row>
    <row r="4" spans="1:4" ht="15.75" customHeight="1">
      <c r="B4" s="16" t="s">
        <v>5</v>
      </c>
      <c r="C4" s="327">
        <v>16284</v>
      </c>
      <c r="D4" s="309">
        <v>1584</v>
      </c>
    </row>
    <row r="5" spans="1:4" ht="15.75" customHeight="1">
      <c r="B5" s="16" t="s">
        <v>6</v>
      </c>
      <c r="C5" s="327">
        <v>17696</v>
      </c>
      <c r="D5" s="309">
        <v>0</v>
      </c>
    </row>
    <row r="6" spans="1:4" ht="15.75" customHeight="1">
      <c r="B6" s="16" t="s">
        <v>7</v>
      </c>
      <c r="C6" s="327">
        <v>3196</v>
      </c>
      <c r="D6" s="309">
        <v>1312</v>
      </c>
    </row>
    <row r="7" spans="1:4" ht="15.75" customHeight="1">
      <c r="B7" s="16" t="s">
        <v>8</v>
      </c>
      <c r="C7" s="328">
        <v>64</v>
      </c>
      <c r="D7" s="309">
        <v>0</v>
      </c>
    </row>
    <row r="8" spans="1:4" ht="15.75" customHeight="1">
      <c r="B8" s="16" t="s">
        <v>9</v>
      </c>
      <c r="C8" s="328">
        <v>0</v>
      </c>
      <c r="D8" s="309">
        <v>0</v>
      </c>
    </row>
    <row r="9" spans="1:4" ht="15.75" customHeight="1">
      <c r="B9" s="16" t="s">
        <v>10</v>
      </c>
      <c r="C9" s="309">
        <v>0</v>
      </c>
      <c r="D9" s="309">
        <v>9726</v>
      </c>
    </row>
    <row r="10" spans="1:4" ht="15.75" customHeight="1">
      <c r="B10" s="203" t="s">
        <v>11</v>
      </c>
      <c r="C10" s="204">
        <f>SUM(C3:C9)</f>
        <v>83929</v>
      </c>
      <c r="D10" s="204">
        <f>SUM(D3:D9)</f>
        <v>24092</v>
      </c>
    </row>
    <row r="11" spans="1:4" ht="15.75" customHeight="1">
      <c r="A11" s="10"/>
      <c r="B11" s="203" t="s">
        <v>12</v>
      </c>
      <c r="C11" s="329">
        <v>249</v>
      </c>
      <c r="D11" s="329">
        <v>0</v>
      </c>
    </row>
    <row r="12" spans="1:4" ht="15.75" customHeight="1">
      <c r="B12" s="203" t="s">
        <v>13</v>
      </c>
      <c r="C12" s="204">
        <f>C10+C11</f>
        <v>84178</v>
      </c>
      <c r="D12" s="204">
        <f>D10+D11</f>
        <v>24092</v>
      </c>
    </row>
    <row r="13" spans="1:4" ht="15.75" customHeight="1">
      <c r="B13" s="325" t="s">
        <v>14</v>
      </c>
      <c r="C13" s="368">
        <f>C12+D12</f>
        <v>108270</v>
      </c>
      <c r="D13" s="369"/>
    </row>
    <row r="14" spans="1:4">
      <c r="C14" s="28"/>
      <c r="D14" s="28"/>
    </row>
    <row r="15" spans="1:4">
      <c r="D15" s="28"/>
    </row>
    <row r="16" spans="1:4">
      <c r="B16" s="202" t="s">
        <v>1</v>
      </c>
      <c r="C16" s="2" t="s">
        <v>2</v>
      </c>
    </row>
    <row r="17" spans="2:25">
      <c r="B17" s="16" t="s">
        <v>4</v>
      </c>
      <c r="C17" s="42">
        <f>C3</f>
        <v>46689</v>
      </c>
      <c r="D17" s="180">
        <f>C17/$C$24</f>
        <v>0.55629162744700877</v>
      </c>
    </row>
    <row r="18" spans="2:25" ht="15.75">
      <c r="B18" s="16" t="s">
        <v>5</v>
      </c>
      <c r="C18" s="42">
        <f>C4</f>
        <v>16284</v>
      </c>
      <c r="D18" s="180">
        <f t="shared" ref="D18:D23" si="0">C18/$C$24</f>
        <v>0.19402113691334341</v>
      </c>
      <c r="O18" s="8"/>
      <c r="P18" s="9"/>
      <c r="Q18" s="9"/>
      <c r="R18" s="8"/>
      <c r="S18" s="9"/>
      <c r="T18" s="9"/>
      <c r="U18" s="10"/>
      <c r="V18" s="10"/>
      <c r="W18" s="10"/>
      <c r="X18" s="10"/>
      <c r="Y18" s="10"/>
    </row>
    <row r="19" spans="2:25">
      <c r="B19" s="16" t="s">
        <v>6</v>
      </c>
      <c r="C19" s="42">
        <f>C5</f>
        <v>17696</v>
      </c>
      <c r="D19" s="180">
        <f t="shared" si="0"/>
        <v>0.21084488079209809</v>
      </c>
      <c r="O19" s="11"/>
      <c r="P19" s="12"/>
      <c r="Q19" s="12"/>
      <c r="R19" s="11"/>
      <c r="S19" s="12"/>
      <c r="T19" s="12"/>
      <c r="U19" s="10"/>
      <c r="V19" s="10"/>
      <c r="W19" s="10"/>
      <c r="X19" s="10"/>
      <c r="Y19" s="10"/>
    </row>
    <row r="20" spans="2:25">
      <c r="B20" s="16" t="s">
        <v>7</v>
      </c>
      <c r="C20" s="42">
        <f>C6</f>
        <v>3196</v>
      </c>
      <c r="D20" s="180">
        <f>C20/$C$24</f>
        <v>3.8079805549929104E-2</v>
      </c>
      <c r="O20" s="11"/>
      <c r="P20" s="13"/>
      <c r="Q20" s="13"/>
      <c r="R20" s="11"/>
      <c r="S20" s="13"/>
      <c r="T20" s="13"/>
      <c r="U20" s="10"/>
      <c r="V20" s="10"/>
      <c r="W20" s="10"/>
      <c r="X20" s="10"/>
      <c r="Y20" s="10"/>
    </row>
    <row r="21" spans="2:25">
      <c r="B21" s="16" t="s">
        <v>10</v>
      </c>
      <c r="C21" s="42">
        <v>0</v>
      </c>
      <c r="D21" s="180">
        <f>C21/$C$24</f>
        <v>0</v>
      </c>
      <c r="O21" s="11"/>
      <c r="P21" s="13"/>
      <c r="Q21" s="13"/>
      <c r="R21" s="11"/>
      <c r="S21" s="13"/>
      <c r="T21" s="13"/>
      <c r="U21" s="10"/>
      <c r="V21" s="10"/>
      <c r="W21" s="10"/>
      <c r="X21" s="10"/>
      <c r="Y21" s="10"/>
    </row>
    <row r="22" spans="2:25">
      <c r="B22" s="16" t="s">
        <v>8</v>
      </c>
      <c r="C22" s="42">
        <f>C7</f>
        <v>64</v>
      </c>
      <c r="D22" s="180">
        <f t="shared" si="0"/>
        <v>7.6254929762060791E-4</v>
      </c>
      <c r="O22" s="11"/>
      <c r="P22" s="12"/>
      <c r="Q22" s="12"/>
      <c r="R22" s="11"/>
      <c r="S22" s="12"/>
      <c r="T22" s="12"/>
      <c r="U22" s="10"/>
      <c r="V22" s="10"/>
      <c r="W22" s="10"/>
      <c r="X22" s="10"/>
      <c r="Y22" s="10"/>
    </row>
    <row r="23" spans="2:25">
      <c r="B23" s="16" t="s">
        <v>9</v>
      </c>
      <c r="C23" s="218">
        <f>+C8</f>
        <v>0</v>
      </c>
      <c r="D23" s="180">
        <f t="shared" si="0"/>
        <v>0</v>
      </c>
      <c r="O23" s="11"/>
      <c r="P23" s="12"/>
      <c r="Q23" s="12"/>
      <c r="R23" s="11"/>
      <c r="S23" s="12"/>
      <c r="T23" s="12"/>
      <c r="U23" s="10"/>
      <c r="V23" s="10"/>
      <c r="W23" s="10"/>
      <c r="X23" s="10"/>
      <c r="Y23" s="10"/>
    </row>
    <row r="24" spans="2:25">
      <c r="B24" s="203" t="s">
        <v>15</v>
      </c>
      <c r="C24" s="204">
        <f>SUM(C17:C23)</f>
        <v>83929</v>
      </c>
      <c r="D24" s="28"/>
      <c r="O24" s="11"/>
      <c r="P24" s="12"/>
      <c r="Q24" s="12"/>
      <c r="R24" s="11"/>
      <c r="S24" s="12"/>
      <c r="T24" s="12"/>
      <c r="U24" s="10"/>
      <c r="V24" s="10"/>
      <c r="W24" s="10"/>
      <c r="X24" s="10"/>
      <c r="Y24" s="10"/>
    </row>
    <row r="25" spans="2:25">
      <c r="D25" s="28"/>
      <c r="O25" s="11"/>
      <c r="P25" s="12"/>
      <c r="Q25" s="12"/>
      <c r="R25" s="11"/>
      <c r="S25" s="12"/>
      <c r="T25" s="12"/>
      <c r="U25" s="10"/>
      <c r="V25" s="10"/>
      <c r="W25" s="10"/>
      <c r="X25" s="10"/>
      <c r="Y25" s="10"/>
    </row>
    <row r="26" spans="2:25">
      <c r="C26" s="28"/>
      <c r="E26" s="28"/>
      <c r="O26" s="11"/>
      <c r="P26" s="13"/>
      <c r="Q26" s="13"/>
      <c r="R26" s="11"/>
      <c r="S26" s="13"/>
      <c r="T26" s="13"/>
      <c r="U26" s="10"/>
      <c r="V26" s="10"/>
      <c r="W26" s="10"/>
      <c r="X26" s="10"/>
      <c r="Y26" s="10"/>
    </row>
    <row r="27" spans="2:25">
      <c r="B27" s="202" t="s">
        <v>1</v>
      </c>
      <c r="C27" s="205" t="s">
        <v>3</v>
      </c>
      <c r="O27" s="11"/>
      <c r="P27" s="13"/>
      <c r="Q27" s="13"/>
      <c r="R27" s="11"/>
      <c r="S27" s="13"/>
      <c r="T27" s="13"/>
      <c r="U27" s="10"/>
      <c r="V27" s="10"/>
      <c r="W27" s="10"/>
      <c r="X27" s="10"/>
      <c r="Y27" s="10"/>
    </row>
    <row r="28" spans="2:25">
      <c r="B28" s="16" t="s">
        <v>4</v>
      </c>
      <c r="C28" s="42">
        <f>D3</f>
        <v>11470</v>
      </c>
      <c r="D28" s="180">
        <f>C28/$C$35</f>
        <v>0.47609164868005976</v>
      </c>
      <c r="E28" s="28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2:25">
      <c r="B29" s="16" t="s">
        <v>10</v>
      </c>
      <c r="C29" s="42">
        <f>D9</f>
        <v>9726</v>
      </c>
      <c r="D29" s="180">
        <f t="shared" ref="D29:D34" si="1">C29/$C$35</f>
        <v>0.40370247385024072</v>
      </c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2:25">
      <c r="B30" s="16" t="s">
        <v>5</v>
      </c>
      <c r="C30" s="42">
        <f>D4</f>
        <v>1584</v>
      </c>
      <c r="D30" s="180">
        <f t="shared" si="1"/>
        <v>6.5747966129835633E-2</v>
      </c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2:25">
      <c r="B31" s="16" t="s">
        <v>6</v>
      </c>
      <c r="C31" s="42">
        <f>+D5</f>
        <v>0</v>
      </c>
      <c r="D31" s="180">
        <f t="shared" si="1"/>
        <v>0</v>
      </c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2:25">
      <c r="B32" s="16" t="s">
        <v>7</v>
      </c>
      <c r="C32" s="42">
        <f>D6</f>
        <v>1312</v>
      </c>
      <c r="D32" s="180">
        <f t="shared" si="1"/>
        <v>5.4457911339863857E-2</v>
      </c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2:25">
      <c r="B33" s="16" t="s">
        <v>8</v>
      </c>
      <c r="C33" s="42">
        <f>+D7</f>
        <v>0</v>
      </c>
      <c r="D33" s="180">
        <f t="shared" si="1"/>
        <v>0</v>
      </c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2:25">
      <c r="B34" s="16" t="s">
        <v>16</v>
      </c>
      <c r="C34" s="42">
        <v>0</v>
      </c>
      <c r="D34" s="180">
        <f t="shared" si="1"/>
        <v>0</v>
      </c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2:25">
      <c r="B35" s="203" t="s">
        <v>15</v>
      </c>
      <c r="C35" s="204">
        <f>SUM(C27:C34)</f>
        <v>24092</v>
      </c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2:25">
      <c r="D36" s="28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2:25" ht="15.75" thickBot="1">
      <c r="D37" s="28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2:25" ht="27" customHeight="1">
      <c r="B38" s="365" t="s">
        <v>17</v>
      </c>
      <c r="C38" s="366"/>
      <c r="D38" s="367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2:25" ht="30">
      <c r="B39" s="1" t="s">
        <v>1</v>
      </c>
      <c r="C39" s="2" t="s">
        <v>2</v>
      </c>
      <c r="D39" s="3" t="s">
        <v>3</v>
      </c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2:25">
      <c r="B40" s="4" t="s">
        <v>4</v>
      </c>
      <c r="C40" s="320">
        <v>57970</v>
      </c>
      <c r="D40" s="308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2:25">
      <c r="B41" s="4" t="s">
        <v>5</v>
      </c>
      <c r="C41" s="320">
        <v>18179</v>
      </c>
      <c r="D41" s="183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2:25">
      <c r="B42" s="4" t="s">
        <v>6</v>
      </c>
      <c r="C42" s="320">
        <v>17897</v>
      </c>
      <c r="D42" s="183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2:25">
      <c r="B43" s="4" t="s">
        <v>7</v>
      </c>
      <c r="C43" s="320">
        <v>3296</v>
      </c>
      <c r="D43" s="183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2:25">
      <c r="B44" s="4" t="s">
        <v>8</v>
      </c>
      <c r="C44" s="320">
        <v>72</v>
      </c>
      <c r="D44" s="183">
        <v>12</v>
      </c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2:25">
      <c r="B45" s="4" t="s">
        <v>9</v>
      </c>
      <c r="C45" s="309">
        <v>0</v>
      </c>
      <c r="D45" s="183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2:25">
      <c r="B46" s="4" t="s">
        <v>10</v>
      </c>
      <c r="C46" s="309">
        <v>0</v>
      </c>
      <c r="D46" s="183">
        <v>9081</v>
      </c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2:25">
      <c r="B47" s="322" t="s">
        <v>15</v>
      </c>
      <c r="C47" s="323">
        <f>SUM(C40:C46)</f>
        <v>97414</v>
      </c>
      <c r="D47" s="324">
        <f>SUM(D40:D46)</f>
        <v>9093</v>
      </c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2:25">
      <c r="B48" s="16" t="s">
        <v>14</v>
      </c>
      <c r="C48" s="368">
        <f>C47+D47</f>
        <v>106507</v>
      </c>
      <c r="D48" s="369"/>
      <c r="E48" s="28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2:25">
      <c r="B49" s="33"/>
      <c r="C49" s="321"/>
      <c r="D49" s="321"/>
      <c r="E49" s="28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2:25" ht="15.75" thickBot="1">
      <c r="D50" s="28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2:25">
      <c r="B51" s="29" t="s">
        <v>1</v>
      </c>
      <c r="C51" s="2" t="s">
        <v>2</v>
      </c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2:25">
      <c r="B52" s="4" t="s">
        <v>4</v>
      </c>
      <c r="C52" s="42">
        <f>C40</f>
        <v>57970</v>
      </c>
      <c r="D52" s="180">
        <f>C52/$C$59</f>
        <v>0.59508900158088163</v>
      </c>
    </row>
    <row r="53" spans="2:25">
      <c r="B53" s="4" t="s">
        <v>5</v>
      </c>
      <c r="C53" s="42">
        <f>C41</f>
        <v>18179</v>
      </c>
      <c r="D53" s="180">
        <f t="shared" ref="D53:D58" si="2">C53/$C$59</f>
        <v>0.18661588683351468</v>
      </c>
    </row>
    <row r="54" spans="2:25">
      <c r="B54" s="4" t="s">
        <v>6</v>
      </c>
      <c r="C54" s="42">
        <f>C42</f>
        <v>17897</v>
      </c>
      <c r="D54" s="180">
        <f t="shared" si="2"/>
        <v>0.18372102572525509</v>
      </c>
    </row>
    <row r="55" spans="2:25">
      <c r="B55" s="4" t="s">
        <v>7</v>
      </c>
      <c r="C55" s="42">
        <f>+C43</f>
        <v>3296</v>
      </c>
      <c r="D55" s="180">
        <f t="shared" si="2"/>
        <v>3.3834972385899359E-2</v>
      </c>
    </row>
    <row r="56" spans="2:25">
      <c r="B56" s="4" t="s">
        <v>8</v>
      </c>
      <c r="C56" s="42">
        <f>+C44</f>
        <v>72</v>
      </c>
      <c r="D56" s="180">
        <f t="shared" si="2"/>
        <v>7.3911347444925778E-4</v>
      </c>
    </row>
    <row r="57" spans="2:25">
      <c r="B57" s="4" t="s">
        <v>9</v>
      </c>
      <c r="C57" s="42">
        <f>+C45</f>
        <v>0</v>
      </c>
      <c r="D57" s="180">
        <f t="shared" si="2"/>
        <v>0</v>
      </c>
    </row>
    <row r="58" spans="2:25" ht="15.75" thickBot="1">
      <c r="B58" s="311" t="s">
        <v>10</v>
      </c>
      <c r="C58" s="42">
        <v>0</v>
      </c>
      <c r="D58" s="180">
        <f t="shared" si="2"/>
        <v>0</v>
      </c>
    </row>
    <row r="59" spans="2:25" ht="15.75" thickBot="1">
      <c r="B59" s="160" t="s">
        <v>15</v>
      </c>
      <c r="C59" s="204">
        <f>SUM(C52:C57)</f>
        <v>97414</v>
      </c>
    </row>
    <row r="61" spans="2:25" ht="15.75" thickBot="1"/>
    <row r="62" spans="2:25" ht="24.75" customHeight="1">
      <c r="B62" s="29" t="s">
        <v>1</v>
      </c>
      <c r="C62" s="49" t="s">
        <v>3</v>
      </c>
    </row>
    <row r="63" spans="2:25">
      <c r="B63" s="4" t="s">
        <v>10</v>
      </c>
      <c r="C63" s="109">
        <f>D46</f>
        <v>9081</v>
      </c>
      <c r="D63" s="180">
        <f>C63/$C$65</f>
        <v>0.99868030353018811</v>
      </c>
    </row>
    <row r="64" spans="2:25">
      <c r="B64" s="53" t="s">
        <v>18</v>
      </c>
      <c r="C64" s="109">
        <f>+D44</f>
        <v>12</v>
      </c>
      <c r="D64" s="180">
        <f>C64/$C$65</f>
        <v>1.3196964698119432E-3</v>
      </c>
    </row>
    <row r="65" spans="2:4" ht="15.75" thickBot="1">
      <c r="B65" s="5" t="s">
        <v>15</v>
      </c>
      <c r="C65" s="6">
        <f>SUM(C63:C64)</f>
        <v>9093</v>
      </c>
    </row>
    <row r="66" spans="2:4">
      <c r="C66" s="28"/>
      <c r="D66" s="28"/>
    </row>
  </sheetData>
  <mergeCells count="4">
    <mergeCell ref="B1:D1"/>
    <mergeCell ref="B38:D38"/>
    <mergeCell ref="C13:D13"/>
    <mergeCell ref="C48:D4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75"/>
  <sheetViews>
    <sheetView zoomScale="120" zoomScaleNormal="120" workbookViewId="0">
      <selection activeCell="C31" sqref="C31"/>
    </sheetView>
  </sheetViews>
  <sheetFormatPr baseColWidth="10" defaultColWidth="11.42578125" defaultRowHeight="15"/>
  <cols>
    <col min="2" max="2" width="22" customWidth="1"/>
    <col min="3" max="3" width="41.42578125" customWidth="1"/>
    <col min="4" max="4" width="26.7109375" customWidth="1"/>
    <col min="5" max="5" width="18.140625" customWidth="1"/>
    <col min="6" max="6" width="22.140625" customWidth="1"/>
    <col min="15" max="15" width="24.5703125" customWidth="1"/>
    <col min="16" max="16" width="25.28515625" customWidth="1"/>
    <col min="17" max="17" width="29.7109375" customWidth="1"/>
  </cols>
  <sheetData>
    <row r="1" spans="2:6" ht="37.5" customHeight="1">
      <c r="B1" s="373" t="s">
        <v>19</v>
      </c>
      <c r="C1" s="373"/>
      <c r="D1" s="373"/>
      <c r="E1" s="373"/>
      <c r="F1" s="373"/>
    </row>
    <row r="2" spans="2:6" ht="25.5">
      <c r="B2" s="374" t="s">
        <v>20</v>
      </c>
      <c r="C2" s="374"/>
      <c r="D2" s="312" t="s">
        <v>21</v>
      </c>
      <c r="E2" s="313" t="s">
        <v>2</v>
      </c>
      <c r="F2" s="314" t="s">
        <v>3</v>
      </c>
    </row>
    <row r="3" spans="2:6">
      <c r="B3" s="315" t="s">
        <v>22</v>
      </c>
      <c r="C3" s="315" t="s">
        <v>23</v>
      </c>
      <c r="D3" s="315" t="s">
        <v>24</v>
      </c>
      <c r="E3" s="316"/>
      <c r="F3" s="317">
        <v>9082</v>
      </c>
    </row>
    <row r="4" spans="2:6">
      <c r="B4" s="315" t="s">
        <v>25</v>
      </c>
      <c r="C4" s="315" t="s">
        <v>26</v>
      </c>
      <c r="D4" s="315" t="s">
        <v>24</v>
      </c>
      <c r="E4" s="316"/>
      <c r="F4" s="317">
        <v>11</v>
      </c>
    </row>
    <row r="5" spans="2:6">
      <c r="B5" s="315" t="s">
        <v>27</v>
      </c>
      <c r="C5" s="315" t="s">
        <v>28</v>
      </c>
      <c r="D5" s="315" t="s">
        <v>29</v>
      </c>
      <c r="E5" s="316"/>
      <c r="F5" s="317"/>
    </row>
    <row r="6" spans="2:6">
      <c r="B6" s="315" t="s">
        <v>30</v>
      </c>
      <c r="C6" s="315" t="s">
        <v>31</v>
      </c>
      <c r="D6" s="315" t="s">
        <v>32</v>
      </c>
      <c r="E6" s="316"/>
      <c r="F6" s="317"/>
    </row>
    <row r="7" spans="2:6">
      <c r="B7" s="315" t="s">
        <v>33</v>
      </c>
      <c r="C7" s="315" t="s">
        <v>34</v>
      </c>
      <c r="D7" s="315" t="s">
        <v>35</v>
      </c>
      <c r="E7" s="317">
        <v>74052</v>
      </c>
      <c r="F7" s="316"/>
    </row>
    <row r="8" spans="2:6">
      <c r="B8" s="315" t="s">
        <v>36</v>
      </c>
      <c r="C8" s="315" t="s">
        <v>37</v>
      </c>
      <c r="D8" s="315" t="s">
        <v>38</v>
      </c>
      <c r="E8" s="317">
        <v>4554</v>
      </c>
      <c r="F8" s="316"/>
    </row>
    <row r="9" spans="2:6">
      <c r="B9" s="315" t="s">
        <v>39</v>
      </c>
      <c r="C9" s="315" t="s">
        <v>40</v>
      </c>
      <c r="D9" s="315" t="s">
        <v>41</v>
      </c>
      <c r="E9" s="317">
        <v>9003</v>
      </c>
      <c r="F9" s="316"/>
    </row>
    <row r="10" spans="2:6">
      <c r="B10" s="315" t="s">
        <v>42</v>
      </c>
      <c r="C10" s="315" t="s">
        <v>43</v>
      </c>
      <c r="D10" s="315" t="s">
        <v>44</v>
      </c>
      <c r="E10" s="317">
        <v>5571</v>
      </c>
      <c r="F10" s="316"/>
    </row>
    <row r="11" spans="2:6">
      <c r="B11" s="315" t="s">
        <v>45</v>
      </c>
      <c r="C11" s="315" t="s">
        <v>46</v>
      </c>
      <c r="D11" s="315" t="s">
        <v>47</v>
      </c>
      <c r="E11" s="317">
        <v>5</v>
      </c>
      <c r="F11" s="316"/>
    </row>
    <row r="12" spans="2:6">
      <c r="B12" s="315" t="s">
        <v>48</v>
      </c>
      <c r="C12" s="315" t="s">
        <v>49</v>
      </c>
      <c r="D12" s="315" t="s">
        <v>50</v>
      </c>
      <c r="E12" s="317"/>
      <c r="F12" s="316"/>
    </row>
    <row r="13" spans="2:6">
      <c r="B13" s="315" t="s">
        <v>51</v>
      </c>
      <c r="C13" s="315" t="s">
        <v>52</v>
      </c>
      <c r="D13" s="315" t="s">
        <v>53</v>
      </c>
      <c r="E13" s="317">
        <v>4027</v>
      </c>
      <c r="F13" s="316"/>
    </row>
    <row r="14" spans="2:6">
      <c r="B14" s="315" t="s">
        <v>54</v>
      </c>
      <c r="C14" s="315" t="s">
        <v>55</v>
      </c>
      <c r="D14" s="315" t="s">
        <v>56</v>
      </c>
      <c r="E14" s="317"/>
      <c r="F14" s="316"/>
    </row>
    <row r="15" spans="2:6">
      <c r="B15" s="315" t="s">
        <v>57</v>
      </c>
      <c r="C15" s="315" t="s">
        <v>58</v>
      </c>
      <c r="D15" s="315" t="s">
        <v>59</v>
      </c>
      <c r="E15" s="317"/>
      <c r="F15" s="316"/>
    </row>
    <row r="16" spans="2:6">
      <c r="B16" s="315" t="s">
        <v>60</v>
      </c>
      <c r="C16" s="315" t="s">
        <v>61</v>
      </c>
      <c r="D16" s="315" t="s">
        <v>62</v>
      </c>
      <c r="E16" s="317"/>
      <c r="F16" s="316"/>
    </row>
    <row r="17" spans="2:6">
      <c r="B17" s="315" t="s">
        <v>63</v>
      </c>
      <c r="C17" s="315" t="s">
        <v>64</v>
      </c>
      <c r="D17" s="315" t="s">
        <v>65</v>
      </c>
      <c r="E17" s="317"/>
      <c r="F17" s="316"/>
    </row>
    <row r="18" spans="2:6">
      <c r="B18" s="315" t="s">
        <v>57</v>
      </c>
      <c r="C18" s="315" t="s">
        <v>66</v>
      </c>
      <c r="D18" s="315" t="s">
        <v>67</v>
      </c>
      <c r="E18" s="317">
        <v>9</v>
      </c>
      <c r="F18" s="316"/>
    </row>
    <row r="19" spans="2:6" ht="15" customHeight="1">
      <c r="B19" s="315" t="s">
        <v>68</v>
      </c>
      <c r="C19" s="315" t="s">
        <v>69</v>
      </c>
      <c r="D19" s="315" t="s">
        <v>70</v>
      </c>
      <c r="E19" s="317"/>
      <c r="F19" s="316"/>
    </row>
    <row r="20" spans="2:6" ht="15" customHeight="1">
      <c r="B20" s="315" t="s">
        <v>71</v>
      </c>
      <c r="C20" s="315" t="s">
        <v>72</v>
      </c>
      <c r="D20" s="315" t="s">
        <v>73</v>
      </c>
      <c r="E20" s="317"/>
      <c r="F20" s="316"/>
    </row>
    <row r="21" spans="2:6" ht="15" customHeight="1">
      <c r="B21" s="315" t="s">
        <v>74</v>
      </c>
      <c r="C21" s="315" t="s">
        <v>75</v>
      </c>
      <c r="D21" s="315" t="s">
        <v>76</v>
      </c>
      <c r="E21" s="317">
        <v>8</v>
      </c>
      <c r="F21" s="316"/>
    </row>
    <row r="22" spans="2:6">
      <c r="B22" s="315" t="s">
        <v>77</v>
      </c>
      <c r="C22" s="315" t="s">
        <v>78</v>
      </c>
      <c r="D22" s="315" t="s">
        <v>79</v>
      </c>
      <c r="E22" s="317"/>
      <c r="F22" s="316"/>
    </row>
    <row r="23" spans="2:6">
      <c r="B23" s="315" t="s">
        <v>80</v>
      </c>
      <c r="C23" s="315" t="s">
        <v>81</v>
      </c>
      <c r="D23" s="315" t="s">
        <v>82</v>
      </c>
      <c r="E23" s="317"/>
      <c r="F23" s="316"/>
    </row>
    <row r="24" spans="2:6">
      <c r="B24" s="315" t="s">
        <v>83</v>
      </c>
      <c r="C24" s="315" t="s">
        <v>84</v>
      </c>
      <c r="D24" s="315" t="s">
        <v>85</v>
      </c>
      <c r="E24" s="317">
        <v>150</v>
      </c>
      <c r="F24" s="316"/>
    </row>
    <row r="25" spans="2:6">
      <c r="B25" s="315" t="s">
        <v>86</v>
      </c>
      <c r="C25" s="315" t="s">
        <v>87</v>
      </c>
      <c r="D25" s="315" t="s">
        <v>88</v>
      </c>
      <c r="E25" s="317"/>
      <c r="F25" s="316"/>
    </row>
    <row r="26" spans="2:6">
      <c r="B26" s="315" t="s">
        <v>89</v>
      </c>
      <c r="C26" s="315" t="s">
        <v>90</v>
      </c>
      <c r="D26" s="315" t="s">
        <v>91</v>
      </c>
      <c r="E26" s="317"/>
      <c r="F26" s="316"/>
    </row>
    <row r="27" spans="2:6">
      <c r="B27" s="315" t="s">
        <v>92</v>
      </c>
      <c r="C27" s="315" t="s">
        <v>93</v>
      </c>
      <c r="D27" s="315" t="s">
        <v>94</v>
      </c>
      <c r="E27" s="317">
        <v>35</v>
      </c>
      <c r="F27" s="317"/>
    </row>
    <row r="28" spans="2:6">
      <c r="B28" s="315" t="s">
        <v>95</v>
      </c>
      <c r="C28" s="315" t="s">
        <v>96</v>
      </c>
      <c r="D28" s="315" t="s">
        <v>97</v>
      </c>
      <c r="E28" s="317"/>
      <c r="F28" s="316"/>
    </row>
    <row r="29" spans="2:6">
      <c r="B29" s="315" t="s">
        <v>98</v>
      </c>
      <c r="C29" s="315" t="s">
        <v>99</v>
      </c>
      <c r="D29" s="315" t="s">
        <v>100</v>
      </c>
      <c r="E29" s="317"/>
      <c r="F29" s="316"/>
    </row>
    <row r="30" spans="2:6">
      <c r="B30" s="315" t="s">
        <v>101</v>
      </c>
      <c r="C30" s="315" t="s">
        <v>102</v>
      </c>
      <c r="D30" s="315" t="s">
        <v>103</v>
      </c>
      <c r="E30" s="317"/>
      <c r="F30" s="316"/>
    </row>
    <row r="31" spans="2:6">
      <c r="B31" s="315" t="s">
        <v>104</v>
      </c>
      <c r="C31" s="315" t="s">
        <v>105</v>
      </c>
      <c r="D31" s="315" t="s">
        <v>106</v>
      </c>
      <c r="E31" s="317"/>
      <c r="F31" s="316"/>
    </row>
    <row r="32" spans="2:6">
      <c r="B32" s="315" t="s">
        <v>107</v>
      </c>
      <c r="C32" s="315" t="s">
        <v>108</v>
      </c>
      <c r="D32" s="315" t="s">
        <v>109</v>
      </c>
      <c r="E32" s="317"/>
      <c r="F32" s="316"/>
    </row>
    <row r="33" spans="2:6">
      <c r="B33" s="315" t="s">
        <v>110</v>
      </c>
      <c r="C33" s="315" t="s">
        <v>111</v>
      </c>
      <c r="D33" s="315" t="s">
        <v>112</v>
      </c>
      <c r="E33" s="317"/>
      <c r="F33" s="316"/>
    </row>
    <row r="34" spans="2:6" ht="15.75" thickBot="1">
      <c r="B34" s="377" t="s">
        <v>15</v>
      </c>
      <c r="C34" s="378"/>
      <c r="D34" s="379"/>
      <c r="E34" s="347">
        <f>SUM(E3:E33)</f>
        <v>97414</v>
      </c>
      <c r="F34" s="347">
        <f>SUM(F3:F33)</f>
        <v>9093</v>
      </c>
    </row>
    <row r="35" spans="2:6" ht="15.75" thickBot="1">
      <c r="B35" s="380"/>
      <c r="C35" s="381"/>
      <c r="D35" s="382"/>
      <c r="E35" s="375">
        <f>SUM(E34:F34)</f>
        <v>106507</v>
      </c>
      <c r="F35" s="376"/>
    </row>
    <row r="37" spans="2:6">
      <c r="B37" s="14" t="s">
        <v>21</v>
      </c>
      <c r="C37" s="15" t="s">
        <v>2</v>
      </c>
      <c r="D37" s="266" t="s">
        <v>113</v>
      </c>
      <c r="E37" s="44"/>
      <c r="F37" s="44"/>
    </row>
    <row r="38" spans="2:6">
      <c r="B38" s="16" t="s">
        <v>35</v>
      </c>
      <c r="C38" s="59">
        <f>+E7+E15</f>
        <v>74052</v>
      </c>
      <c r="D38" s="208">
        <f>(C38/$C$44)*100%</f>
        <v>0.76017820847106166</v>
      </c>
      <c r="E38" s="50"/>
      <c r="F38" s="44"/>
    </row>
    <row r="39" spans="2:6">
      <c r="B39" s="16" t="s">
        <v>114</v>
      </c>
      <c r="C39" s="59">
        <f>+E8</f>
        <v>4554</v>
      </c>
      <c r="D39" s="208">
        <f t="shared" ref="D39:D42" si="0">(C39/$C$44)*100%</f>
        <v>4.6748927258915558E-2</v>
      </c>
      <c r="E39" s="50"/>
      <c r="F39" s="50"/>
    </row>
    <row r="40" spans="2:6">
      <c r="B40" s="16" t="s">
        <v>41</v>
      </c>
      <c r="C40" s="59">
        <f>+E9</f>
        <v>9003</v>
      </c>
      <c r="D40" s="208">
        <f t="shared" si="0"/>
        <v>9.2419980700925941E-2</v>
      </c>
      <c r="E40" s="44"/>
      <c r="F40" s="50"/>
    </row>
    <row r="41" spans="2:6">
      <c r="B41" s="16" t="s">
        <v>44</v>
      </c>
      <c r="C41" s="59">
        <f>+E10</f>
        <v>5571</v>
      </c>
      <c r="D41" s="208">
        <f t="shared" si="0"/>
        <v>5.7188905085511325E-2</v>
      </c>
      <c r="E41" s="44"/>
      <c r="F41" s="50"/>
    </row>
    <row r="42" spans="2:6">
      <c r="B42" s="16" t="s">
        <v>53</v>
      </c>
      <c r="C42" s="59">
        <f>+E13</f>
        <v>4027</v>
      </c>
      <c r="D42" s="208">
        <f t="shared" si="0"/>
        <v>4.1339027244543906E-2</v>
      </c>
      <c r="E42" s="44"/>
      <c r="F42" s="44"/>
    </row>
    <row r="43" spans="2:6">
      <c r="B43" s="16" t="s">
        <v>115</v>
      </c>
      <c r="C43" s="59">
        <f>+E14+E16+E19+E28+E29+E31+E11+E24+E18+E25+E21+E20+E17+E32+E33+E23+E27</f>
        <v>207</v>
      </c>
      <c r="D43" s="208">
        <f>(C43/$C$44)*100%</f>
        <v>2.1249512390416163E-3</v>
      </c>
      <c r="E43" s="44"/>
      <c r="F43" s="44"/>
    </row>
    <row r="44" spans="2:6">
      <c r="B44" s="267"/>
      <c r="C44" s="72">
        <f>SUM(C38:C43)</f>
        <v>97414</v>
      </c>
      <c r="D44" s="223">
        <f>SUM(D38:D43)</f>
        <v>1</v>
      </c>
      <c r="E44" s="44"/>
      <c r="F44" s="50"/>
    </row>
    <row r="45" spans="2:6" ht="15.75" thickBot="1">
      <c r="E45" s="44"/>
      <c r="F45" s="50"/>
    </row>
    <row r="46" spans="2:6">
      <c r="B46" s="131" t="s">
        <v>21</v>
      </c>
      <c r="C46" s="207" t="s">
        <v>3</v>
      </c>
      <c r="D46" s="206" t="s">
        <v>113</v>
      </c>
      <c r="E46" s="44"/>
      <c r="F46" s="50"/>
    </row>
    <row r="47" spans="2:6">
      <c r="B47" s="4" t="s">
        <v>24</v>
      </c>
      <c r="C47" s="59">
        <f>+F3</f>
        <v>9082</v>
      </c>
      <c r="D47" s="209">
        <f>(C47/C50)*100%</f>
        <v>0.99879027823600575</v>
      </c>
      <c r="E47" s="44"/>
      <c r="F47" s="50"/>
    </row>
    <row r="48" spans="2:6">
      <c r="B48" s="16" t="s">
        <v>29</v>
      </c>
      <c r="C48" s="59">
        <f>+F5</f>
        <v>0</v>
      </c>
      <c r="D48" s="209">
        <f>(C48/C50)*100%</f>
        <v>0</v>
      </c>
      <c r="E48" s="44"/>
      <c r="F48" s="50"/>
    </row>
    <row r="49" spans="2:6" ht="15.75" thickBot="1">
      <c r="B49" s="17" t="s">
        <v>115</v>
      </c>
      <c r="C49" s="59">
        <v>11</v>
      </c>
      <c r="D49" s="209">
        <f>(C49/C50)*100%</f>
        <v>1.2097217639942812E-3</v>
      </c>
    </row>
    <row r="50" spans="2:6">
      <c r="C50" s="218">
        <f>SUM(C47:C49)</f>
        <v>9093</v>
      </c>
      <c r="D50" s="219">
        <f>SUM(D47:D49)</f>
        <v>1</v>
      </c>
    </row>
    <row r="51" spans="2:6" ht="15.75" thickBot="1"/>
    <row r="52" spans="2:6" ht="37.5" customHeight="1">
      <c r="B52" s="370" t="s">
        <v>116</v>
      </c>
      <c r="C52" s="371"/>
      <c r="D52" s="371"/>
      <c r="E52" s="371"/>
      <c r="F52" s="372"/>
    </row>
    <row r="53" spans="2:6" ht="35.25" customHeight="1">
      <c r="B53" s="406" t="s">
        <v>20</v>
      </c>
      <c r="C53" s="374"/>
      <c r="D53" s="312" t="s">
        <v>117</v>
      </c>
      <c r="E53" s="313" t="s">
        <v>2</v>
      </c>
      <c r="F53" s="348" t="s">
        <v>3</v>
      </c>
    </row>
    <row r="54" spans="2:6">
      <c r="B54" s="349" t="s">
        <v>22</v>
      </c>
      <c r="C54" s="315" t="s">
        <v>23</v>
      </c>
      <c r="D54" s="315" t="s">
        <v>24</v>
      </c>
      <c r="E54" s="317"/>
      <c r="F54" s="350">
        <v>9726</v>
      </c>
    </row>
    <row r="55" spans="2:6">
      <c r="B55" s="349" t="s">
        <v>118</v>
      </c>
      <c r="C55" s="315" t="s">
        <v>119</v>
      </c>
      <c r="D55" s="315" t="s">
        <v>120</v>
      </c>
      <c r="E55" s="316"/>
      <c r="F55" s="350"/>
    </row>
    <row r="56" spans="2:6">
      <c r="B56" s="349" t="s">
        <v>27</v>
      </c>
      <c r="C56" s="315" t="s">
        <v>28</v>
      </c>
      <c r="D56" s="315" t="s">
        <v>29</v>
      </c>
      <c r="E56" s="316"/>
      <c r="F56" s="350"/>
    </row>
    <row r="57" spans="2:6">
      <c r="B57" s="349" t="s">
        <v>30</v>
      </c>
      <c r="C57" s="315" t="s">
        <v>31</v>
      </c>
      <c r="D57" s="315" t="s">
        <v>32</v>
      </c>
      <c r="E57" s="316"/>
      <c r="F57" s="350"/>
    </row>
    <row r="58" spans="2:6">
      <c r="B58" s="349" t="s">
        <v>33</v>
      </c>
      <c r="C58" s="315" t="s">
        <v>34</v>
      </c>
      <c r="D58" s="315" t="s">
        <v>35</v>
      </c>
      <c r="E58" s="317">
        <v>62145</v>
      </c>
      <c r="F58" s="350">
        <v>13339</v>
      </c>
    </row>
    <row r="59" spans="2:6">
      <c r="B59" s="349" t="s">
        <v>36</v>
      </c>
      <c r="C59" s="315" t="s">
        <v>37</v>
      </c>
      <c r="D59" s="315" t="s">
        <v>38</v>
      </c>
      <c r="E59" s="317">
        <v>3339</v>
      </c>
      <c r="F59" s="350">
        <v>791</v>
      </c>
    </row>
    <row r="60" spans="2:6">
      <c r="B60" s="349" t="s">
        <v>39</v>
      </c>
      <c r="C60" s="315" t="s">
        <v>40</v>
      </c>
      <c r="D60" s="315" t="s">
        <v>41</v>
      </c>
      <c r="E60" s="317">
        <v>8662</v>
      </c>
      <c r="F60" s="350">
        <v>12</v>
      </c>
    </row>
    <row r="61" spans="2:6">
      <c r="B61" s="349" t="s">
        <v>42</v>
      </c>
      <c r="C61" s="315" t="s">
        <v>43</v>
      </c>
      <c r="D61" s="315" t="s">
        <v>44</v>
      </c>
      <c r="E61" s="317">
        <v>5773</v>
      </c>
      <c r="F61" s="350">
        <v>213</v>
      </c>
    </row>
    <row r="62" spans="2:6">
      <c r="B62" s="349" t="s">
        <v>51</v>
      </c>
      <c r="C62" s="315" t="s">
        <v>52</v>
      </c>
      <c r="D62" s="315" t="s">
        <v>53</v>
      </c>
      <c r="E62" s="317">
        <v>4028</v>
      </c>
      <c r="F62" s="350">
        <v>11</v>
      </c>
    </row>
    <row r="63" spans="2:6">
      <c r="B63" s="349" t="s">
        <v>57</v>
      </c>
      <c r="C63" s="315" t="s">
        <v>58</v>
      </c>
      <c r="D63" s="315" t="s">
        <v>59</v>
      </c>
      <c r="E63" s="317">
        <v>9</v>
      </c>
      <c r="F63" s="350"/>
    </row>
    <row r="64" spans="2:6">
      <c r="B64" s="349" t="s">
        <v>60</v>
      </c>
      <c r="C64" s="315" t="s">
        <v>61</v>
      </c>
      <c r="D64" s="315" t="s">
        <v>62</v>
      </c>
      <c r="E64" s="317"/>
      <c r="F64" s="351"/>
    </row>
    <row r="65" spans="2:6">
      <c r="B65" s="349" t="s">
        <v>63</v>
      </c>
      <c r="C65" s="315" t="s">
        <v>64</v>
      </c>
      <c r="D65" s="315" t="s">
        <v>65</v>
      </c>
      <c r="E65" s="317">
        <v>19</v>
      </c>
      <c r="F65" s="351"/>
    </row>
    <row r="66" spans="2:6">
      <c r="B66" s="349" t="s">
        <v>71</v>
      </c>
      <c r="C66" s="315" t="s">
        <v>72</v>
      </c>
      <c r="D66" s="315" t="s">
        <v>73</v>
      </c>
      <c r="E66" s="317">
        <v>30</v>
      </c>
      <c r="F66" s="351"/>
    </row>
    <row r="67" spans="2:6">
      <c r="B67" s="349" t="s">
        <v>121</v>
      </c>
      <c r="C67" s="315" t="s">
        <v>122</v>
      </c>
      <c r="D67" s="315" t="s">
        <v>123</v>
      </c>
      <c r="E67" s="317"/>
      <c r="F67" s="350"/>
    </row>
    <row r="68" spans="2:6" ht="14.25" customHeight="1">
      <c r="B68" s="349" t="s">
        <v>77</v>
      </c>
      <c r="C68" s="315" t="s">
        <v>78</v>
      </c>
      <c r="D68" s="315" t="s">
        <v>79</v>
      </c>
      <c r="E68" s="317"/>
      <c r="F68" s="351"/>
    </row>
    <row r="69" spans="2:6" ht="14.25" customHeight="1">
      <c r="B69" s="349" t="s">
        <v>80</v>
      </c>
      <c r="C69" s="315" t="s">
        <v>81</v>
      </c>
      <c r="D69" s="315" t="s">
        <v>82</v>
      </c>
      <c r="E69" s="317"/>
      <c r="F69" s="351"/>
    </row>
    <row r="70" spans="2:6" ht="14.25" customHeight="1">
      <c r="B70" s="349" t="s">
        <v>74</v>
      </c>
      <c r="C70" s="315" t="s">
        <v>75</v>
      </c>
      <c r="D70" s="315" t="s">
        <v>76</v>
      </c>
      <c r="E70" s="317"/>
      <c r="F70" s="351"/>
    </row>
    <row r="71" spans="2:6" ht="14.25" customHeight="1">
      <c r="B71" s="349" t="s">
        <v>92</v>
      </c>
      <c r="C71" s="315" t="s">
        <v>93</v>
      </c>
      <c r="D71" s="315" t="s">
        <v>94</v>
      </c>
      <c r="E71" s="317">
        <v>165</v>
      </c>
      <c r="F71" s="350"/>
    </row>
    <row r="72" spans="2:6" ht="14.25" customHeight="1">
      <c r="B72" s="352" t="s">
        <v>95</v>
      </c>
      <c r="C72" s="353" t="s">
        <v>96</v>
      </c>
      <c r="D72" s="353" t="s">
        <v>97</v>
      </c>
      <c r="E72" s="317"/>
      <c r="F72" s="351"/>
    </row>
    <row r="73" spans="2:6" ht="14.25" customHeight="1">
      <c r="B73" s="352" t="s">
        <v>80</v>
      </c>
      <c r="C73" s="353" t="s">
        <v>124</v>
      </c>
      <c r="D73" s="353" t="s">
        <v>50</v>
      </c>
      <c r="E73" s="317"/>
      <c r="F73" s="351"/>
    </row>
    <row r="74" spans="2:6" ht="14.25" customHeight="1">
      <c r="B74" s="352" t="s">
        <v>125</v>
      </c>
      <c r="C74" s="353" t="s">
        <v>126</v>
      </c>
      <c r="D74" s="353" t="s">
        <v>127</v>
      </c>
      <c r="E74" s="317">
        <v>5</v>
      </c>
      <c r="F74" s="351"/>
    </row>
    <row r="75" spans="2:6" ht="14.25" customHeight="1">
      <c r="B75" s="352" t="s">
        <v>98</v>
      </c>
      <c r="C75" s="353" t="s">
        <v>99</v>
      </c>
      <c r="D75" s="353" t="s">
        <v>100</v>
      </c>
      <c r="E75" s="317"/>
      <c r="F75" s="351"/>
    </row>
    <row r="76" spans="2:6" ht="14.25" customHeight="1">
      <c r="B76" s="349" t="s">
        <v>45</v>
      </c>
      <c r="C76" s="315" t="s">
        <v>46</v>
      </c>
      <c r="D76" s="315" t="s">
        <v>47</v>
      </c>
      <c r="E76" s="317"/>
      <c r="F76" s="351"/>
    </row>
    <row r="77" spans="2:6" ht="14.25" customHeight="1">
      <c r="B77" s="315" t="s">
        <v>101</v>
      </c>
      <c r="C77" s="315" t="s">
        <v>102</v>
      </c>
      <c r="D77" s="315" t="s">
        <v>103</v>
      </c>
      <c r="E77" s="317"/>
      <c r="F77" s="316"/>
    </row>
    <row r="78" spans="2:6" ht="14.25" customHeight="1">
      <c r="B78" s="315" t="s">
        <v>104</v>
      </c>
      <c r="C78" s="315" t="s">
        <v>105</v>
      </c>
      <c r="D78" s="315" t="s">
        <v>106</v>
      </c>
      <c r="E78" s="317"/>
      <c r="F78" s="316"/>
    </row>
    <row r="79" spans="2:6" ht="14.25" customHeight="1">
      <c r="B79" s="354" t="s">
        <v>107</v>
      </c>
      <c r="C79" s="355" t="s">
        <v>108</v>
      </c>
      <c r="D79" s="354" t="s">
        <v>109</v>
      </c>
      <c r="E79" s="317">
        <v>2</v>
      </c>
      <c r="F79" s="316"/>
    </row>
    <row r="80" spans="2:6" ht="14.25" customHeight="1">
      <c r="B80" s="354" t="s">
        <v>128</v>
      </c>
      <c r="C80" s="355" t="s">
        <v>129</v>
      </c>
      <c r="D80" s="354" t="s">
        <v>130</v>
      </c>
      <c r="E80" s="317"/>
      <c r="F80" s="316"/>
    </row>
    <row r="81" spans="2:6" ht="14.25" customHeight="1">
      <c r="B81" s="315" t="s">
        <v>110</v>
      </c>
      <c r="C81" s="315" t="s">
        <v>111</v>
      </c>
      <c r="D81" s="315" t="s">
        <v>112</v>
      </c>
      <c r="E81" s="317">
        <v>1</v>
      </c>
      <c r="F81" s="316"/>
    </row>
    <row r="82" spans="2:6">
      <c r="B82" s="397" t="s">
        <v>15</v>
      </c>
      <c r="C82" s="398"/>
      <c r="D82" s="399"/>
      <c r="E82" s="318">
        <f>SUM(E54:E81)</f>
        <v>84178</v>
      </c>
      <c r="F82" s="318">
        <f>SUM(F54:F78)</f>
        <v>24092</v>
      </c>
    </row>
    <row r="83" spans="2:6">
      <c r="B83" s="400"/>
      <c r="C83" s="401"/>
      <c r="D83" s="402"/>
      <c r="E83" s="388">
        <f>SUM(E82:F82)</f>
        <v>108270</v>
      </c>
      <c r="F83" s="389"/>
    </row>
    <row r="85" spans="2:6">
      <c r="B85" s="14" t="s">
        <v>21</v>
      </c>
      <c r="C85" s="15" t="s">
        <v>2</v>
      </c>
      <c r="D85" s="206" t="s">
        <v>113</v>
      </c>
      <c r="E85" s="45"/>
      <c r="F85" s="50"/>
    </row>
    <row r="86" spans="2:6" ht="15.75" customHeight="1">
      <c r="B86" s="16" t="s">
        <v>35</v>
      </c>
      <c r="C86" s="59">
        <f>+E58+E63</f>
        <v>62154</v>
      </c>
      <c r="D86" s="208">
        <f>(C86/C92)*100%</f>
        <v>0.7383639430730119</v>
      </c>
      <c r="E86" s="45"/>
      <c r="F86" s="45"/>
    </row>
    <row r="87" spans="2:6" ht="15.75" customHeight="1">
      <c r="B87" s="16" t="s">
        <v>114</v>
      </c>
      <c r="C87" s="59">
        <f>+E59</f>
        <v>3339</v>
      </c>
      <c r="D87" s="208">
        <f>(C87/C92)*100%</f>
        <v>3.966594597163154E-2</v>
      </c>
      <c r="E87" s="45"/>
      <c r="F87" s="45"/>
    </row>
    <row r="88" spans="2:6" ht="15.75" customHeight="1">
      <c r="B88" s="16" t="s">
        <v>41</v>
      </c>
      <c r="C88" s="59">
        <f>+E60</f>
        <v>8662</v>
      </c>
      <c r="D88" s="208">
        <f>(C88/C92)*100%</f>
        <v>0.10290099550951555</v>
      </c>
      <c r="E88" s="45"/>
      <c r="F88" s="45"/>
    </row>
    <row r="89" spans="2:6" ht="15.75" customHeight="1">
      <c r="B89" s="16" t="s">
        <v>44</v>
      </c>
      <c r="C89" s="59">
        <f>+E61</f>
        <v>5773</v>
      </c>
      <c r="D89" s="208">
        <f>(C89/C92)*100%</f>
        <v>6.8580864358858615E-2</v>
      </c>
      <c r="E89" s="45"/>
      <c r="F89" s="45"/>
    </row>
    <row r="90" spans="2:6" ht="15.75" customHeight="1">
      <c r="B90" s="16" t="s">
        <v>53</v>
      </c>
      <c r="C90" s="59">
        <f>+E62</f>
        <v>4028</v>
      </c>
      <c r="D90" s="208">
        <f>(C90/C92)*100%</f>
        <v>4.7850982441968212E-2</v>
      </c>
      <c r="E90" s="45"/>
      <c r="F90" s="45"/>
    </row>
    <row r="91" spans="2:6" ht="15.75" customHeight="1">
      <c r="B91" s="16" t="s">
        <v>115</v>
      </c>
      <c r="C91" s="59">
        <f>+E64+E73+E75+E74+E81+E76+E71+E72+E65+E66+E69+E78+E79+E80+E54</f>
        <v>222</v>
      </c>
      <c r="D91" s="208">
        <f>(C91/C92)*100%</f>
        <v>2.6372686450141366E-3</v>
      </c>
      <c r="E91" s="34"/>
      <c r="F91" s="34"/>
    </row>
    <row r="92" spans="2:6">
      <c r="C92" s="218">
        <f>SUM(C86:C91)</f>
        <v>84178</v>
      </c>
      <c r="D92" s="223">
        <f>SUM(D86:D91)</f>
        <v>0.99999999999999989</v>
      </c>
      <c r="E92" s="34"/>
      <c r="F92" s="34"/>
    </row>
    <row r="93" spans="2:6" ht="15.75" thickBot="1">
      <c r="E93" s="34"/>
      <c r="F93" s="34"/>
    </row>
    <row r="94" spans="2:6">
      <c r="B94" s="131" t="s">
        <v>21</v>
      </c>
      <c r="C94" s="207" t="s">
        <v>3</v>
      </c>
      <c r="D94" s="206" t="s">
        <v>113</v>
      </c>
      <c r="E94" s="46"/>
      <c r="F94" s="46"/>
    </row>
    <row r="95" spans="2:6">
      <c r="B95" s="4" t="s">
        <v>24</v>
      </c>
      <c r="C95" s="59">
        <f>+F54</f>
        <v>9726</v>
      </c>
      <c r="D95" s="209">
        <f>(C95/C99)*100%</f>
        <v>0.40370247385024072</v>
      </c>
      <c r="E95" s="46"/>
      <c r="F95" s="46"/>
    </row>
    <row r="96" spans="2:6">
      <c r="B96" s="16" t="s">
        <v>29</v>
      </c>
      <c r="C96" s="59">
        <f>+F56</f>
        <v>0</v>
      </c>
      <c r="D96" s="209">
        <f>(C96/C99)*100%</f>
        <v>0</v>
      </c>
      <c r="E96" s="46"/>
      <c r="F96" s="46"/>
    </row>
    <row r="97" spans="2:6">
      <c r="B97" s="319" t="s">
        <v>59</v>
      </c>
      <c r="C97" s="59">
        <f>F58</f>
        <v>13339</v>
      </c>
      <c r="D97" s="209">
        <f>(C97/C99)*100%</f>
        <v>0.55366926780674086</v>
      </c>
      <c r="E97" s="46"/>
      <c r="F97" s="46"/>
    </row>
    <row r="98" spans="2:6" ht="15.75" thickBot="1">
      <c r="B98" s="17" t="s">
        <v>115</v>
      </c>
      <c r="C98" s="59">
        <f>+F59+F60+F67+F63+F55+F61+F62+F71</f>
        <v>1027</v>
      </c>
      <c r="D98" s="209">
        <f>(C98/C99)*100%</f>
        <v>4.2628258343018428E-2</v>
      </c>
      <c r="E98" s="47"/>
      <c r="F98" s="47"/>
    </row>
    <row r="99" spans="2:6">
      <c r="C99" s="218">
        <f>SUM(C95:C98)</f>
        <v>24092</v>
      </c>
      <c r="D99" s="219">
        <f>SUM(D95:D98)</f>
        <v>1</v>
      </c>
      <c r="E99" s="47"/>
      <c r="F99" s="47"/>
    </row>
    <row r="100" spans="2:6" ht="15.75" thickBot="1">
      <c r="E100" s="47"/>
      <c r="F100" s="47"/>
    </row>
    <row r="101" spans="2:6" ht="26.25" customHeight="1" thickBot="1">
      <c r="B101" s="390" t="s">
        <v>131</v>
      </c>
      <c r="C101" s="391"/>
      <c r="D101" s="391"/>
      <c r="E101" s="392"/>
    </row>
    <row r="102" spans="2:6" ht="30.75" thickBot="1">
      <c r="B102" s="198" t="s">
        <v>132</v>
      </c>
      <c r="C102" s="199" t="s">
        <v>1</v>
      </c>
      <c r="D102" s="200" t="s">
        <v>21</v>
      </c>
      <c r="E102" s="201" t="s">
        <v>117</v>
      </c>
    </row>
    <row r="103" spans="2:6">
      <c r="B103" s="174" t="s">
        <v>133</v>
      </c>
      <c r="C103" s="175" t="s">
        <v>5</v>
      </c>
      <c r="D103" s="176">
        <v>151</v>
      </c>
      <c r="E103" s="177">
        <v>151</v>
      </c>
      <c r="F103" s="7"/>
    </row>
    <row r="104" spans="2:6">
      <c r="B104" s="4" t="s">
        <v>134</v>
      </c>
      <c r="C104" s="16" t="s">
        <v>4</v>
      </c>
      <c r="D104" s="59">
        <v>398</v>
      </c>
      <c r="E104" s="110">
        <v>398</v>
      </c>
      <c r="F104" s="7"/>
    </row>
    <row r="105" spans="2:6">
      <c r="B105" s="4" t="s">
        <v>10</v>
      </c>
      <c r="C105" s="16" t="s">
        <v>10</v>
      </c>
      <c r="D105" s="59">
        <v>64</v>
      </c>
      <c r="E105" s="110">
        <v>64</v>
      </c>
      <c r="F105" s="7"/>
    </row>
    <row r="106" spans="2:6">
      <c r="B106" s="4" t="s">
        <v>7</v>
      </c>
      <c r="C106" s="16" t="s">
        <v>7</v>
      </c>
      <c r="D106" s="59">
        <v>181</v>
      </c>
      <c r="E106" s="110">
        <v>181</v>
      </c>
      <c r="F106" s="7"/>
    </row>
    <row r="107" spans="2:6" ht="15.75" thickBot="1">
      <c r="B107" s="17" t="s">
        <v>135</v>
      </c>
      <c r="C107" s="178" t="s">
        <v>6</v>
      </c>
      <c r="D107" s="179">
        <v>110</v>
      </c>
      <c r="E107" s="132">
        <v>110</v>
      </c>
      <c r="F107" s="7"/>
    </row>
    <row r="108" spans="2:6" ht="15.75" thickBot="1">
      <c r="B108" s="393" t="s">
        <v>136</v>
      </c>
      <c r="C108" s="394"/>
      <c r="D108" s="164">
        <f>SUM(D103:D107)</f>
        <v>904</v>
      </c>
      <c r="E108" s="165">
        <f>SUM(E103:E107)</f>
        <v>904</v>
      </c>
      <c r="F108" s="7"/>
    </row>
    <row r="109" spans="2:6" ht="15.75" thickBot="1">
      <c r="B109" s="395"/>
      <c r="C109" s="396"/>
      <c r="D109" s="383">
        <f>+D108+E108</f>
        <v>1808</v>
      </c>
      <c r="E109" s="384"/>
      <c r="F109" s="7"/>
    </row>
    <row r="110" spans="2:6">
      <c r="B110" s="166" t="s">
        <v>8</v>
      </c>
      <c r="C110" s="167" t="s">
        <v>18</v>
      </c>
      <c r="D110" s="168">
        <v>205</v>
      </c>
      <c r="E110" s="169">
        <v>209</v>
      </c>
      <c r="F110" s="7"/>
    </row>
    <row r="111" spans="2:6" ht="15.75" thickBot="1">
      <c r="B111" s="170" t="s">
        <v>137</v>
      </c>
      <c r="C111" s="171" t="s">
        <v>138</v>
      </c>
      <c r="D111" s="172">
        <v>33</v>
      </c>
      <c r="E111" s="173">
        <v>34</v>
      </c>
      <c r="F111" s="7"/>
    </row>
    <row r="112" spans="2:6" ht="15.75" thickBot="1">
      <c r="B112" s="393" t="s">
        <v>139</v>
      </c>
      <c r="C112" s="394"/>
      <c r="D112" s="164">
        <f>SUM(D110:D111)</f>
        <v>238</v>
      </c>
      <c r="E112" s="165">
        <f>SUM(E110:E111)</f>
        <v>243</v>
      </c>
      <c r="F112" s="7"/>
    </row>
    <row r="113" spans="2:5" ht="20.25" customHeight="1" thickBot="1">
      <c r="B113" s="395"/>
      <c r="C113" s="396"/>
      <c r="D113" s="383">
        <f>+D112+E112</f>
        <v>481</v>
      </c>
      <c r="E113" s="384"/>
    </row>
    <row r="114" spans="2:5" ht="27.75" customHeight="1" thickBot="1">
      <c r="B114" s="385" t="s">
        <v>140</v>
      </c>
      <c r="C114" s="386"/>
      <c r="D114" s="387">
        <f>(D109+D113)</f>
        <v>2289</v>
      </c>
      <c r="E114" s="386"/>
    </row>
    <row r="115" spans="2:5" ht="15.75" thickBot="1">
      <c r="D115" s="28"/>
    </row>
    <row r="116" spans="2:5">
      <c r="B116" s="18" t="s">
        <v>1</v>
      </c>
      <c r="C116" s="19" t="s">
        <v>21</v>
      </c>
    </row>
    <row r="117" spans="2:5">
      <c r="B117" s="16" t="s">
        <v>4</v>
      </c>
      <c r="C117" s="48">
        <f>+D104</f>
        <v>398</v>
      </c>
      <c r="D117" s="40"/>
      <c r="E117" s="41"/>
    </row>
    <row r="118" spans="2:5">
      <c r="B118" s="16" t="s">
        <v>18</v>
      </c>
      <c r="C118" s="48">
        <f>+D110</f>
        <v>205</v>
      </c>
      <c r="D118" s="40"/>
      <c r="E118" s="41"/>
    </row>
    <row r="119" spans="2:5">
      <c r="B119" s="16" t="s">
        <v>5</v>
      </c>
      <c r="C119" s="48">
        <f>+D103</f>
        <v>151</v>
      </c>
      <c r="D119" s="40"/>
      <c r="E119" s="41"/>
    </row>
    <row r="120" spans="2:5">
      <c r="B120" s="16" t="s">
        <v>7</v>
      </c>
      <c r="C120" s="48">
        <f>+D106</f>
        <v>181</v>
      </c>
      <c r="D120" s="40"/>
      <c r="E120" s="41"/>
    </row>
    <row r="121" spans="2:5">
      <c r="B121" s="16" t="s">
        <v>6</v>
      </c>
      <c r="C121" s="48">
        <f>+D107</f>
        <v>110</v>
      </c>
      <c r="D121" s="40"/>
      <c r="E121" s="41"/>
    </row>
    <row r="122" spans="2:5">
      <c r="B122" s="16" t="s">
        <v>10</v>
      </c>
      <c r="C122" s="48">
        <f>+D105</f>
        <v>64</v>
      </c>
      <c r="D122" s="40"/>
      <c r="E122" s="41"/>
    </row>
    <row r="123" spans="2:5">
      <c r="B123" s="16" t="s">
        <v>138</v>
      </c>
      <c r="C123" s="48">
        <f>+D111</f>
        <v>33</v>
      </c>
      <c r="D123" s="40"/>
      <c r="E123" s="41"/>
    </row>
    <row r="124" spans="2:5">
      <c r="B124" s="33"/>
      <c r="C124" s="222">
        <f>SUM(C117:C123)</f>
        <v>1142</v>
      </c>
      <c r="D124" s="40"/>
      <c r="E124" s="41"/>
    </row>
    <row r="126" spans="2:5">
      <c r="B126" s="210" t="s">
        <v>1</v>
      </c>
      <c r="C126" s="2" t="s">
        <v>117</v>
      </c>
    </row>
    <row r="127" spans="2:5">
      <c r="B127" s="16" t="s">
        <v>4</v>
      </c>
      <c r="C127" s="48">
        <f>+E104</f>
        <v>398</v>
      </c>
    </row>
    <row r="128" spans="2:5">
      <c r="B128" s="16" t="s">
        <v>18</v>
      </c>
      <c r="C128" s="48">
        <f>+E110</f>
        <v>209</v>
      </c>
    </row>
    <row r="129" spans="2:4">
      <c r="B129" s="16" t="s">
        <v>5</v>
      </c>
      <c r="C129" s="48">
        <f>+E103</f>
        <v>151</v>
      </c>
    </row>
    <row r="130" spans="2:4">
      <c r="B130" s="16" t="s">
        <v>7</v>
      </c>
      <c r="C130" s="48">
        <f>+E106</f>
        <v>181</v>
      </c>
    </row>
    <row r="131" spans="2:4">
      <c r="B131" s="16" t="s">
        <v>6</v>
      </c>
      <c r="C131" s="48">
        <f>+E107</f>
        <v>110</v>
      </c>
    </row>
    <row r="132" spans="2:4">
      <c r="B132" s="16" t="s">
        <v>10</v>
      </c>
      <c r="C132" s="48">
        <f>+E105</f>
        <v>64</v>
      </c>
    </row>
    <row r="133" spans="2:4">
      <c r="B133" s="16" t="s">
        <v>138</v>
      </c>
      <c r="C133" s="48">
        <f>+E111</f>
        <v>34</v>
      </c>
    </row>
    <row r="134" spans="2:4">
      <c r="B134" s="33"/>
      <c r="C134" s="222">
        <f>SUM(C127:C133)</f>
        <v>1147</v>
      </c>
    </row>
    <row r="136" spans="2:4">
      <c r="B136" s="403" t="s">
        <v>141</v>
      </c>
      <c r="C136" s="403"/>
    </row>
    <row r="137" spans="2:4">
      <c r="B137" s="356" t="s">
        <v>1</v>
      </c>
      <c r="C137" s="357" t="s">
        <v>142</v>
      </c>
      <c r="D137" s="60"/>
    </row>
    <row r="138" spans="2:4">
      <c r="B138" s="315" t="s">
        <v>5</v>
      </c>
      <c r="C138" s="317">
        <f>C119+C129</f>
        <v>302</v>
      </c>
      <c r="D138" s="151"/>
    </row>
    <row r="139" spans="2:4">
      <c r="B139" s="315" t="s">
        <v>4</v>
      </c>
      <c r="C139" s="317">
        <f>C117+C127</f>
        <v>796</v>
      </c>
      <c r="D139" s="151"/>
    </row>
    <row r="140" spans="2:4">
      <c r="B140" s="315" t="s">
        <v>7</v>
      </c>
      <c r="C140" s="317">
        <f>C120+C130</f>
        <v>362</v>
      </c>
      <c r="D140" s="151"/>
    </row>
    <row r="141" spans="2:4">
      <c r="B141" s="315" t="s">
        <v>6</v>
      </c>
      <c r="C141" s="317">
        <f>C121+C131</f>
        <v>220</v>
      </c>
      <c r="D141" s="151"/>
    </row>
    <row r="142" spans="2:4">
      <c r="B142" s="315" t="s">
        <v>18</v>
      </c>
      <c r="C142" s="358">
        <f>C118+C128</f>
        <v>414</v>
      </c>
      <c r="D142" s="130"/>
    </row>
    <row r="143" spans="2:4">
      <c r="B143" s="315" t="s">
        <v>138</v>
      </c>
      <c r="C143" s="360">
        <f>C123+C133</f>
        <v>67</v>
      </c>
      <c r="D143" s="20"/>
    </row>
    <row r="144" spans="2:4">
      <c r="B144" s="359"/>
      <c r="C144" s="361">
        <f>SUM(C138:C143)</f>
        <v>2161</v>
      </c>
      <c r="D144" s="20"/>
    </row>
    <row r="145" spans="2:4">
      <c r="B145" s="33"/>
      <c r="C145" s="224"/>
      <c r="D145" s="20"/>
    </row>
    <row r="146" spans="2:4">
      <c r="B146" s="404" t="s">
        <v>143</v>
      </c>
      <c r="C146" s="404"/>
      <c r="D146" s="20"/>
    </row>
    <row r="147" spans="2:4" ht="14.25" customHeight="1">
      <c r="B147" s="210" t="s">
        <v>1</v>
      </c>
      <c r="C147" s="211" t="s">
        <v>142</v>
      </c>
      <c r="D147" s="212"/>
    </row>
    <row r="148" spans="2:4" ht="14.25" customHeight="1">
      <c r="B148" s="16" t="s">
        <v>10</v>
      </c>
      <c r="C148" s="48">
        <f>C132+C122</f>
        <v>128</v>
      </c>
      <c r="D148" s="151"/>
    </row>
    <row r="149" spans="2:4" ht="14.25" customHeight="1">
      <c r="B149" s="16"/>
      <c r="C149" s="48">
        <f>+C148</f>
        <v>128</v>
      </c>
      <c r="D149" s="151"/>
    </row>
    <row r="150" spans="2:4" ht="14.25" customHeight="1">
      <c r="B150" s="33"/>
      <c r="C150" s="112"/>
      <c r="D150" s="151"/>
    </row>
    <row r="151" spans="2:4">
      <c r="B151" s="405" t="s">
        <v>144</v>
      </c>
      <c r="C151" s="405"/>
    </row>
    <row r="152" spans="2:4">
      <c r="B152" s="210" t="s">
        <v>1</v>
      </c>
      <c r="C152" s="211" t="s">
        <v>142</v>
      </c>
    </row>
    <row r="153" spans="2:4">
      <c r="B153" s="16" t="s">
        <v>4</v>
      </c>
      <c r="C153" s="59">
        <f>+C139</f>
        <v>796</v>
      </c>
      <c r="D153" s="151"/>
    </row>
    <row r="154" spans="2:4">
      <c r="B154" s="16" t="s">
        <v>5</v>
      </c>
      <c r="C154" s="59">
        <f>+C138</f>
        <v>302</v>
      </c>
      <c r="D154" s="151"/>
    </row>
    <row r="155" spans="2:4">
      <c r="B155" s="16" t="s">
        <v>7</v>
      </c>
      <c r="C155" s="59">
        <f>+C140</f>
        <v>362</v>
      </c>
      <c r="D155" s="151"/>
    </row>
    <row r="156" spans="2:4">
      <c r="B156" s="16" t="s">
        <v>6</v>
      </c>
      <c r="C156" s="59">
        <f>+C141</f>
        <v>220</v>
      </c>
      <c r="D156" s="151"/>
    </row>
    <row r="157" spans="2:4">
      <c r="B157" s="16" t="s">
        <v>10</v>
      </c>
      <c r="C157" s="59">
        <f>+C148</f>
        <v>128</v>
      </c>
      <c r="D157" s="151"/>
    </row>
    <row r="158" spans="2:4">
      <c r="B158" s="16" t="s">
        <v>18</v>
      </c>
      <c r="C158" s="59">
        <f>+C142</f>
        <v>414</v>
      </c>
      <c r="D158" s="151"/>
    </row>
    <row r="159" spans="2:4">
      <c r="B159" s="16" t="s">
        <v>138</v>
      </c>
      <c r="C159" s="59">
        <f>+C143</f>
        <v>67</v>
      </c>
      <c r="D159" s="151"/>
    </row>
    <row r="160" spans="2:4" ht="14.25" customHeight="1">
      <c r="C160" s="218">
        <f>C153+C154+C155+C157+C156+C158+C159</f>
        <v>2289</v>
      </c>
    </row>
    <row r="170" spans="2:2">
      <c r="B170" s="112"/>
    </row>
    <row r="171" spans="2:2">
      <c r="B171" s="112"/>
    </row>
    <row r="172" spans="2:2">
      <c r="B172" s="112"/>
    </row>
    <row r="173" spans="2:2">
      <c r="B173" s="112"/>
    </row>
    <row r="174" spans="2:2">
      <c r="B174" s="112"/>
    </row>
    <row r="175" spans="2:2">
      <c r="B175" s="112"/>
    </row>
  </sheetData>
  <mergeCells count="18">
    <mergeCell ref="B136:C136"/>
    <mergeCell ref="B146:C146"/>
    <mergeCell ref="B151:C151"/>
    <mergeCell ref="B53:C53"/>
    <mergeCell ref="B112:C113"/>
    <mergeCell ref="D113:E113"/>
    <mergeCell ref="B114:C114"/>
    <mergeCell ref="D114:E114"/>
    <mergeCell ref="E83:F83"/>
    <mergeCell ref="B101:E101"/>
    <mergeCell ref="B108:C109"/>
    <mergeCell ref="D109:E109"/>
    <mergeCell ref="B82:D83"/>
    <mergeCell ref="B52:F52"/>
    <mergeCell ref="B1:F1"/>
    <mergeCell ref="B2:C2"/>
    <mergeCell ref="E35:F35"/>
    <mergeCell ref="B34:D3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176"/>
  <sheetViews>
    <sheetView view="pageBreakPreview" topLeftCell="A71" zoomScale="90" zoomScaleNormal="70" zoomScaleSheetLayoutView="90" workbookViewId="0">
      <selection activeCell="F106" sqref="F106"/>
    </sheetView>
  </sheetViews>
  <sheetFormatPr baseColWidth="10" defaultColWidth="11.42578125" defaultRowHeight="15"/>
  <cols>
    <col min="2" max="2" width="24.42578125" customWidth="1"/>
    <col min="3" max="3" width="18.5703125" bestFit="1" customWidth="1"/>
    <col min="4" max="4" width="15.28515625" bestFit="1" customWidth="1"/>
    <col min="5" max="5" width="15.5703125" customWidth="1"/>
    <col min="6" max="6" width="14.140625" customWidth="1"/>
    <col min="7" max="7" width="14.42578125" customWidth="1"/>
    <col min="8" max="8" width="14.28515625" bestFit="1" customWidth="1"/>
    <col min="9" max="9" width="14.140625" customWidth="1"/>
    <col min="10" max="10" width="14" bestFit="1" customWidth="1"/>
    <col min="11" max="11" width="16.5703125" customWidth="1"/>
    <col min="12" max="12" width="17.85546875" customWidth="1"/>
    <col min="13" max="13" width="16" customWidth="1"/>
    <col min="15" max="15" width="12.7109375" customWidth="1"/>
    <col min="16" max="16" width="14.42578125" customWidth="1"/>
    <col min="17" max="17" width="13.5703125" customWidth="1"/>
    <col min="18" max="18" width="11.7109375" customWidth="1"/>
    <col min="19" max="19" width="13.42578125" customWidth="1"/>
    <col min="20" max="20" width="12" customWidth="1"/>
    <col min="21" max="21" width="13.42578125" customWidth="1"/>
    <col min="22" max="22" width="10.28515625" customWidth="1"/>
    <col min="23" max="23" width="13.5703125" customWidth="1"/>
    <col min="24" max="24" width="12.140625" customWidth="1"/>
    <col min="25" max="25" width="12.28515625" customWidth="1"/>
    <col min="26" max="26" width="13.85546875" customWidth="1"/>
    <col min="27" max="27" width="13.140625" customWidth="1"/>
    <col min="28" max="28" width="13.7109375" customWidth="1"/>
    <col min="29" max="29" width="12" customWidth="1"/>
    <col min="30" max="30" width="14.28515625" customWidth="1"/>
    <col min="31" max="31" width="14.28515625" bestFit="1" customWidth="1"/>
    <col min="32" max="32" width="13.140625" customWidth="1"/>
  </cols>
  <sheetData>
    <row r="2" spans="2:13" ht="24" customHeight="1" thickBot="1">
      <c r="B2" s="407" t="s">
        <v>145</v>
      </c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</row>
    <row r="3" spans="2:13" ht="16.5" thickBot="1">
      <c r="B3" s="134" t="s">
        <v>146</v>
      </c>
      <c r="C3" s="135">
        <v>2016</v>
      </c>
      <c r="D3" s="135">
        <v>2017</v>
      </c>
      <c r="E3" s="135">
        <v>2018</v>
      </c>
      <c r="F3" s="135">
        <v>2019</v>
      </c>
      <c r="G3" s="135">
        <v>2020</v>
      </c>
      <c r="H3" s="135">
        <v>2021</v>
      </c>
      <c r="I3" s="135">
        <v>2022</v>
      </c>
      <c r="J3" s="135">
        <v>2023</v>
      </c>
      <c r="K3" s="135">
        <v>2024</v>
      </c>
      <c r="L3" s="136">
        <v>2025</v>
      </c>
      <c r="M3" s="136">
        <v>2026</v>
      </c>
    </row>
    <row r="4" spans="2:13" ht="15.75">
      <c r="B4" s="139" t="s">
        <v>147</v>
      </c>
      <c r="C4" s="137">
        <v>1727</v>
      </c>
      <c r="D4" s="133">
        <v>1818</v>
      </c>
      <c r="E4" s="133">
        <v>2399</v>
      </c>
      <c r="F4" s="133">
        <v>2241</v>
      </c>
      <c r="G4" s="133">
        <v>2333</v>
      </c>
      <c r="H4" s="133">
        <v>1418</v>
      </c>
      <c r="I4" s="133">
        <v>2314</v>
      </c>
      <c r="J4" s="133">
        <v>2050</v>
      </c>
      <c r="K4" s="133">
        <v>2090</v>
      </c>
      <c r="L4" s="156">
        <v>2146</v>
      </c>
      <c r="M4" s="156">
        <v>2288</v>
      </c>
    </row>
    <row r="5" spans="2:13" ht="15.75">
      <c r="B5" s="140" t="s">
        <v>148</v>
      </c>
      <c r="C5" s="138">
        <v>1809</v>
      </c>
      <c r="D5" s="21">
        <v>1594</v>
      </c>
      <c r="E5" s="21">
        <v>2287</v>
      </c>
      <c r="F5" s="21">
        <v>2053</v>
      </c>
      <c r="G5" s="21">
        <v>2061</v>
      </c>
      <c r="H5" s="21">
        <v>1266</v>
      </c>
      <c r="I5" s="21">
        <v>2128</v>
      </c>
      <c r="J5" s="21">
        <v>1957</v>
      </c>
      <c r="K5" s="21">
        <v>2063</v>
      </c>
      <c r="L5" s="156">
        <v>1926</v>
      </c>
      <c r="M5" s="156">
        <v>2094</v>
      </c>
    </row>
    <row r="6" spans="2:13" ht="15.75">
      <c r="B6" s="140" t="s">
        <v>149</v>
      </c>
      <c r="C6" s="138">
        <v>1740</v>
      </c>
      <c r="D6" s="21">
        <v>1763</v>
      </c>
      <c r="E6" s="21">
        <v>2327</v>
      </c>
      <c r="F6" s="21">
        <v>2123</v>
      </c>
      <c r="G6" s="21">
        <v>1476</v>
      </c>
      <c r="H6" s="21">
        <v>1547</v>
      </c>
      <c r="I6" s="21">
        <v>2452</v>
      </c>
      <c r="J6" s="21">
        <v>1776</v>
      </c>
      <c r="K6" s="21">
        <v>2106</v>
      </c>
      <c r="L6" s="156">
        <v>2148</v>
      </c>
      <c r="M6" s="156">
        <v>2343</v>
      </c>
    </row>
    <row r="7" spans="2:13" ht="15.75">
      <c r="B7" s="140" t="s">
        <v>150</v>
      </c>
      <c r="C7" s="138">
        <v>1678</v>
      </c>
      <c r="D7" s="21">
        <v>1688</v>
      </c>
      <c r="E7" s="21">
        <v>2096</v>
      </c>
      <c r="F7" s="21">
        <v>2020</v>
      </c>
      <c r="G7" s="21">
        <v>60</v>
      </c>
      <c r="H7" s="21">
        <v>1441</v>
      </c>
      <c r="I7" s="21">
        <v>2299</v>
      </c>
      <c r="J7" s="21">
        <v>1676</v>
      </c>
      <c r="K7" s="21">
        <v>2140</v>
      </c>
      <c r="L7" s="156">
        <v>1821</v>
      </c>
      <c r="M7" s="156">
        <v>2213</v>
      </c>
    </row>
    <row r="8" spans="2:13" ht="15.75">
      <c r="B8" s="140" t="s">
        <v>151</v>
      </c>
      <c r="C8" s="138">
        <v>1583</v>
      </c>
      <c r="D8" s="21">
        <v>1772</v>
      </c>
      <c r="E8" s="21">
        <v>2249</v>
      </c>
      <c r="F8" s="21">
        <v>2076</v>
      </c>
      <c r="G8" s="21">
        <v>123</v>
      </c>
      <c r="H8" s="21">
        <v>2005</v>
      </c>
      <c r="I8" s="21">
        <v>2424</v>
      </c>
      <c r="J8" s="21">
        <v>1812</v>
      </c>
      <c r="K8" s="21">
        <v>2227</v>
      </c>
      <c r="L8" s="156">
        <v>1765</v>
      </c>
      <c r="M8" s="156">
        <v>2289</v>
      </c>
    </row>
    <row r="9" spans="2:13" ht="15.75">
      <c r="B9" s="140" t="s">
        <v>152</v>
      </c>
      <c r="C9" s="138">
        <v>1721</v>
      </c>
      <c r="D9" s="21">
        <v>1822</v>
      </c>
      <c r="E9" s="21">
        <v>2153</v>
      </c>
      <c r="F9" s="21">
        <v>1938</v>
      </c>
      <c r="G9" s="21">
        <v>241</v>
      </c>
      <c r="H9" s="21">
        <v>1773</v>
      </c>
      <c r="I9" s="21">
        <v>2298</v>
      </c>
      <c r="J9" s="21">
        <v>1807</v>
      </c>
      <c r="K9" s="21">
        <v>2071</v>
      </c>
      <c r="L9" s="156">
        <v>1874</v>
      </c>
      <c r="M9" s="156"/>
    </row>
    <row r="10" spans="2:13" ht="15.75">
      <c r="B10" s="140" t="s">
        <v>153</v>
      </c>
      <c r="C10" s="138">
        <v>1748</v>
      </c>
      <c r="D10" s="21">
        <v>1863</v>
      </c>
      <c r="E10" s="21">
        <v>2164</v>
      </c>
      <c r="F10" s="21">
        <v>2244</v>
      </c>
      <c r="G10" s="21">
        <v>292</v>
      </c>
      <c r="H10" s="21">
        <v>1894</v>
      </c>
      <c r="I10" s="21">
        <v>2307</v>
      </c>
      <c r="J10" s="21">
        <v>1836</v>
      </c>
      <c r="K10" s="21">
        <v>2278</v>
      </c>
      <c r="L10" s="156">
        <v>2010</v>
      </c>
      <c r="M10" s="156"/>
    </row>
    <row r="11" spans="2:13" ht="15.75">
      <c r="B11" s="140" t="s">
        <v>154</v>
      </c>
      <c r="C11" s="138">
        <v>1919</v>
      </c>
      <c r="D11" s="21">
        <v>2036</v>
      </c>
      <c r="E11" s="21">
        <v>2719</v>
      </c>
      <c r="F11" s="21">
        <v>2475</v>
      </c>
      <c r="G11" s="21">
        <v>335</v>
      </c>
      <c r="H11" s="21">
        <v>1898</v>
      </c>
      <c r="I11" s="21">
        <v>2374</v>
      </c>
      <c r="J11" s="21">
        <v>1974</v>
      </c>
      <c r="K11" s="21">
        <v>2364</v>
      </c>
      <c r="L11" s="213">
        <v>2115</v>
      </c>
      <c r="M11" s="213"/>
    </row>
    <row r="12" spans="2:13" ht="15.75">
      <c r="B12" s="140" t="s">
        <v>155</v>
      </c>
      <c r="C12" s="138">
        <v>1857</v>
      </c>
      <c r="D12" s="21">
        <v>1414</v>
      </c>
      <c r="E12" s="21">
        <v>2257</v>
      </c>
      <c r="F12" s="21">
        <v>2049</v>
      </c>
      <c r="G12" s="21">
        <v>777</v>
      </c>
      <c r="H12" s="21">
        <v>1854</v>
      </c>
      <c r="I12" s="21">
        <v>2235</v>
      </c>
      <c r="J12" s="21">
        <v>1882</v>
      </c>
      <c r="K12" s="21">
        <v>2078</v>
      </c>
      <c r="L12" s="213">
        <v>2012</v>
      </c>
      <c r="M12" s="213"/>
    </row>
    <row r="13" spans="2:13" ht="15.75">
      <c r="B13" s="140" t="s">
        <v>156</v>
      </c>
      <c r="C13" s="138">
        <v>1920</v>
      </c>
      <c r="D13" s="21">
        <v>1541</v>
      </c>
      <c r="E13" s="21">
        <v>2298</v>
      </c>
      <c r="F13" s="21">
        <v>2382</v>
      </c>
      <c r="G13" s="21">
        <v>956</v>
      </c>
      <c r="H13" s="21">
        <v>1988</v>
      </c>
      <c r="I13" s="21">
        <v>2193</v>
      </c>
      <c r="J13" s="21">
        <v>2064</v>
      </c>
      <c r="K13" s="21">
        <v>2148</v>
      </c>
      <c r="L13" s="213">
        <v>2162</v>
      </c>
      <c r="M13" s="213"/>
    </row>
    <row r="14" spans="2:13" ht="15.75">
      <c r="B14" s="140" t="s">
        <v>157</v>
      </c>
      <c r="C14" s="138">
        <v>1737</v>
      </c>
      <c r="D14" s="21">
        <v>2158</v>
      </c>
      <c r="E14" s="21">
        <v>2294</v>
      </c>
      <c r="F14" s="21">
        <v>2186</v>
      </c>
      <c r="G14" s="21">
        <v>978</v>
      </c>
      <c r="H14" s="21">
        <v>2092</v>
      </c>
      <c r="I14" s="21">
        <v>2084</v>
      </c>
      <c r="J14" s="21">
        <v>2608</v>
      </c>
      <c r="K14" s="21">
        <v>2072</v>
      </c>
      <c r="L14" s="213">
        <v>2222</v>
      </c>
      <c r="M14" s="213"/>
    </row>
    <row r="15" spans="2:13" ht="16.5" thickBot="1">
      <c r="B15" s="141" t="s">
        <v>158</v>
      </c>
      <c r="C15" s="142">
        <v>1873</v>
      </c>
      <c r="D15" s="143">
        <v>2431</v>
      </c>
      <c r="E15" s="143">
        <v>2450</v>
      </c>
      <c r="F15" s="143">
        <v>2342</v>
      </c>
      <c r="G15" s="143">
        <v>1308</v>
      </c>
      <c r="H15" s="143">
        <v>2284</v>
      </c>
      <c r="I15" s="143">
        <v>2074</v>
      </c>
      <c r="J15" s="143">
        <v>2413</v>
      </c>
      <c r="K15" s="143">
        <v>2153</v>
      </c>
      <c r="L15" s="214">
        <v>2284</v>
      </c>
      <c r="M15" s="214"/>
    </row>
    <row r="16" spans="2:13" ht="16.5" thickBot="1">
      <c r="B16" s="144" t="s">
        <v>15</v>
      </c>
      <c r="C16" s="145">
        <f>SUM(C4:C15)</f>
        <v>21312</v>
      </c>
      <c r="D16" s="146">
        <f t="shared" ref="D16:K16" si="0">SUM(D4:D15)</f>
        <v>21900</v>
      </c>
      <c r="E16" s="146">
        <f t="shared" si="0"/>
        <v>27693</v>
      </c>
      <c r="F16" s="146">
        <f t="shared" si="0"/>
        <v>26129</v>
      </c>
      <c r="G16" s="146">
        <f t="shared" si="0"/>
        <v>10940</v>
      </c>
      <c r="H16" s="146">
        <f t="shared" si="0"/>
        <v>21460</v>
      </c>
      <c r="I16" s="146">
        <f t="shared" si="0"/>
        <v>27182</v>
      </c>
      <c r="J16" s="146">
        <f t="shared" si="0"/>
        <v>23855</v>
      </c>
      <c r="K16" s="146">
        <f t="shared" si="0"/>
        <v>25790</v>
      </c>
      <c r="L16" s="157">
        <f>SUM(L4:L15)</f>
        <v>24485</v>
      </c>
      <c r="M16" s="157">
        <f>SUM(M4:M15)</f>
        <v>11227</v>
      </c>
    </row>
    <row r="19" spans="2:11" ht="15.75">
      <c r="J19" s="124"/>
      <c r="K19" s="124"/>
    </row>
    <row r="20" spans="2:11" ht="15.75">
      <c r="J20" s="124"/>
      <c r="K20" s="124"/>
    </row>
    <row r="21" spans="2:11" ht="15.75">
      <c r="J21" s="124"/>
      <c r="K21" s="124"/>
    </row>
    <row r="22" spans="2:11" ht="15.75">
      <c r="J22" s="124"/>
      <c r="K22" s="124"/>
    </row>
    <row r="23" spans="2:11" ht="15.75">
      <c r="J23" s="124"/>
      <c r="K23" s="124"/>
    </row>
    <row r="24" spans="2:11" ht="15.75">
      <c r="J24" s="124"/>
      <c r="K24" s="124"/>
    </row>
    <row r="25" spans="2:11" ht="15.75">
      <c r="J25" s="124"/>
      <c r="K25" s="124"/>
    </row>
    <row r="26" spans="2:11" ht="15.75">
      <c r="J26" s="124"/>
      <c r="K26" s="124"/>
    </row>
    <row r="27" spans="2:11" ht="15.75">
      <c r="J27" s="124"/>
      <c r="K27" s="124"/>
    </row>
    <row r="28" spans="2:11" ht="15.75">
      <c r="J28" s="124"/>
    </row>
    <row r="29" spans="2:11" ht="15.75">
      <c r="J29" s="124"/>
    </row>
    <row r="30" spans="2:11" ht="15.75">
      <c r="J30" s="124"/>
    </row>
    <row r="31" spans="2:11" ht="15.75" thickBot="1"/>
    <row r="32" spans="2:11" ht="26.25" customHeight="1" thickBot="1">
      <c r="B32" s="409" t="s">
        <v>159</v>
      </c>
      <c r="C32" s="410"/>
      <c r="D32" s="410"/>
      <c r="E32" s="410"/>
      <c r="F32" s="410"/>
      <c r="G32" s="410"/>
      <c r="H32" s="410"/>
      <c r="I32" s="410"/>
      <c r="J32" s="410"/>
      <c r="K32" s="411"/>
    </row>
    <row r="33" spans="2:16" ht="18" customHeight="1">
      <c r="B33" s="428" t="s">
        <v>160</v>
      </c>
      <c r="C33" s="430">
        <v>2024</v>
      </c>
      <c r="D33" s="431"/>
      <c r="E33" s="431"/>
      <c r="F33" s="432" t="s">
        <v>15</v>
      </c>
      <c r="G33" s="430">
        <v>2025</v>
      </c>
      <c r="H33" s="431"/>
      <c r="I33" s="431"/>
      <c r="J33" s="432" t="s">
        <v>15</v>
      </c>
      <c r="K33" s="417" t="s">
        <v>161</v>
      </c>
      <c r="M33" s="412">
        <v>2026</v>
      </c>
      <c r="N33" s="412"/>
      <c r="O33" s="412"/>
      <c r="P33" s="413" t="s">
        <v>15</v>
      </c>
    </row>
    <row r="34" spans="2:16" ht="24.75" thickBot="1">
      <c r="B34" s="429"/>
      <c r="C34" s="22" t="s">
        <v>162</v>
      </c>
      <c r="D34" s="23" t="s">
        <v>163</v>
      </c>
      <c r="E34" s="23" t="s">
        <v>164</v>
      </c>
      <c r="F34" s="433"/>
      <c r="G34" s="22" t="s">
        <v>162</v>
      </c>
      <c r="H34" s="23" t="s">
        <v>163</v>
      </c>
      <c r="I34" s="23" t="s">
        <v>164</v>
      </c>
      <c r="J34" s="433"/>
      <c r="K34" s="418"/>
      <c r="M34" s="30" t="s">
        <v>162</v>
      </c>
      <c r="N34" s="30" t="s">
        <v>163</v>
      </c>
      <c r="O34" s="30" t="s">
        <v>164</v>
      </c>
      <c r="P34" s="413"/>
    </row>
    <row r="35" spans="2:16">
      <c r="B35" s="91" t="s">
        <v>147</v>
      </c>
      <c r="C35" s="92">
        <v>34</v>
      </c>
      <c r="D35" s="93">
        <v>1792</v>
      </c>
      <c r="E35" s="93">
        <v>264</v>
      </c>
      <c r="F35" s="94">
        <f>SUM(C35:E35)</f>
        <v>2090</v>
      </c>
      <c r="G35" s="92">
        <v>30</v>
      </c>
      <c r="H35" s="93">
        <v>1814</v>
      </c>
      <c r="I35" s="93">
        <v>302</v>
      </c>
      <c r="J35" s="94">
        <f>SUM(G35:I35)</f>
        <v>2146</v>
      </c>
      <c r="K35" s="95">
        <f t="shared" ref="K35:K43" si="1">(J35/F35)-1</f>
        <v>2.6794258373205704E-2</v>
      </c>
      <c r="M35" s="93">
        <v>34</v>
      </c>
      <c r="N35" s="93">
        <v>1947</v>
      </c>
      <c r="O35" s="93">
        <v>307</v>
      </c>
      <c r="P35" s="264">
        <f>M35+N35+O35</f>
        <v>2288</v>
      </c>
    </row>
    <row r="36" spans="2:16">
      <c r="B36" s="91" t="s">
        <v>148</v>
      </c>
      <c r="C36" s="92">
        <v>42</v>
      </c>
      <c r="D36" s="93">
        <v>1669</v>
      </c>
      <c r="E36" s="93">
        <v>352</v>
      </c>
      <c r="F36" s="94">
        <f>C36+D36+E36</f>
        <v>2063</v>
      </c>
      <c r="G36" s="92">
        <v>24</v>
      </c>
      <c r="H36" s="93">
        <v>1549</v>
      </c>
      <c r="I36" s="93">
        <v>353</v>
      </c>
      <c r="J36" s="94">
        <f>SUM(G36:I36)</f>
        <v>1926</v>
      </c>
      <c r="K36" s="161">
        <f t="shared" si="1"/>
        <v>-6.6408143480368387E-2</v>
      </c>
      <c r="M36" s="93">
        <v>16</v>
      </c>
      <c r="N36" s="93">
        <v>1624</v>
      </c>
      <c r="O36" s="93">
        <v>454</v>
      </c>
      <c r="P36" s="264">
        <f>M36+N36+O36</f>
        <v>2094</v>
      </c>
    </row>
    <row r="37" spans="2:16">
      <c r="B37" s="91" t="s">
        <v>149</v>
      </c>
      <c r="C37" s="92">
        <v>26</v>
      </c>
      <c r="D37" s="93">
        <v>1757</v>
      </c>
      <c r="E37" s="93">
        <v>323</v>
      </c>
      <c r="F37" s="94">
        <f t="shared" ref="F37:F46" si="2">C37+D37+E37</f>
        <v>2106</v>
      </c>
      <c r="G37" s="92">
        <v>34</v>
      </c>
      <c r="H37" s="93">
        <v>1727</v>
      </c>
      <c r="I37" s="93">
        <v>387</v>
      </c>
      <c r="J37" s="94">
        <f>SUM(G37:I37)</f>
        <v>2148</v>
      </c>
      <c r="K37" s="95">
        <f t="shared" si="1"/>
        <v>1.9943019943019946E-2</v>
      </c>
      <c r="M37" s="93">
        <v>8</v>
      </c>
      <c r="N37" s="93">
        <v>1888</v>
      </c>
      <c r="O37" s="93">
        <v>447</v>
      </c>
      <c r="P37" s="264">
        <f t="shared" ref="P37:P46" si="3">M37+N37+O37</f>
        <v>2343</v>
      </c>
    </row>
    <row r="38" spans="2:16" ht="15" customHeight="1">
      <c r="B38" s="35" t="s">
        <v>150</v>
      </c>
      <c r="C38" s="93">
        <v>28</v>
      </c>
      <c r="D38" s="93">
        <v>1830</v>
      </c>
      <c r="E38" s="93">
        <v>282</v>
      </c>
      <c r="F38" s="94">
        <f t="shared" si="2"/>
        <v>2140</v>
      </c>
      <c r="G38" s="93">
        <v>38</v>
      </c>
      <c r="H38" s="93">
        <v>1484</v>
      </c>
      <c r="I38" s="93">
        <v>299</v>
      </c>
      <c r="J38" s="94">
        <v>1821</v>
      </c>
      <c r="K38" s="161">
        <f t="shared" si="1"/>
        <v>-0.14906542056074767</v>
      </c>
      <c r="M38" s="93">
        <v>10</v>
      </c>
      <c r="N38" s="93">
        <v>1751</v>
      </c>
      <c r="O38" s="93">
        <v>452</v>
      </c>
      <c r="P38" s="264">
        <f t="shared" si="3"/>
        <v>2213</v>
      </c>
    </row>
    <row r="39" spans="2:16">
      <c r="B39" s="39" t="s">
        <v>151</v>
      </c>
      <c r="C39" s="93">
        <v>54</v>
      </c>
      <c r="D39" s="93">
        <v>1941</v>
      </c>
      <c r="E39" s="93">
        <v>232</v>
      </c>
      <c r="F39" s="94">
        <f t="shared" si="2"/>
        <v>2227</v>
      </c>
      <c r="G39" s="93">
        <v>20</v>
      </c>
      <c r="H39" s="93">
        <v>1410</v>
      </c>
      <c r="I39" s="93">
        <v>335</v>
      </c>
      <c r="J39" s="94">
        <v>1765</v>
      </c>
      <c r="K39" s="161">
        <f t="shared" si="1"/>
        <v>-0.20745397395599463</v>
      </c>
      <c r="M39" s="93">
        <v>67</v>
      </c>
      <c r="N39" s="93">
        <v>1808</v>
      </c>
      <c r="O39" s="93">
        <v>414</v>
      </c>
      <c r="P39" s="264">
        <f t="shared" si="3"/>
        <v>2289</v>
      </c>
    </row>
    <row r="40" spans="2:16">
      <c r="B40" s="39" t="s">
        <v>152</v>
      </c>
      <c r="C40" s="93">
        <v>28</v>
      </c>
      <c r="D40" s="93">
        <v>1828</v>
      </c>
      <c r="E40" s="93">
        <v>215</v>
      </c>
      <c r="F40" s="94">
        <f t="shared" si="2"/>
        <v>2071</v>
      </c>
      <c r="G40" s="93">
        <v>28</v>
      </c>
      <c r="H40" s="93">
        <v>1542</v>
      </c>
      <c r="I40" s="93">
        <v>304</v>
      </c>
      <c r="J40" s="94">
        <v>1874</v>
      </c>
      <c r="K40" s="161">
        <f t="shared" si="1"/>
        <v>-9.5123128923225497E-2</v>
      </c>
      <c r="M40" s="93"/>
      <c r="N40" s="93"/>
      <c r="O40" s="93"/>
      <c r="P40" s="264">
        <f t="shared" si="3"/>
        <v>0</v>
      </c>
    </row>
    <row r="41" spans="2:16">
      <c r="B41" s="39" t="s">
        <v>153</v>
      </c>
      <c r="C41" s="215">
        <v>14</v>
      </c>
      <c r="D41" s="215">
        <v>1955</v>
      </c>
      <c r="E41" s="215">
        <v>327</v>
      </c>
      <c r="F41" s="94">
        <f t="shared" si="2"/>
        <v>2296</v>
      </c>
      <c r="G41" s="215">
        <v>42</v>
      </c>
      <c r="H41" s="215">
        <v>1595</v>
      </c>
      <c r="I41" s="215">
        <v>367</v>
      </c>
      <c r="J41" s="216">
        <v>2004</v>
      </c>
      <c r="K41" s="217">
        <f t="shared" si="1"/>
        <v>-0.12717770034843201</v>
      </c>
      <c r="M41" s="215"/>
      <c r="N41" s="215"/>
      <c r="O41" s="215"/>
      <c r="P41" s="264">
        <f t="shared" si="3"/>
        <v>0</v>
      </c>
    </row>
    <row r="42" spans="2:16">
      <c r="B42" s="39" t="s">
        <v>154</v>
      </c>
      <c r="C42" s="93">
        <v>78</v>
      </c>
      <c r="D42" s="93">
        <v>1991</v>
      </c>
      <c r="E42" s="93">
        <v>300</v>
      </c>
      <c r="F42" s="94">
        <f t="shared" si="2"/>
        <v>2369</v>
      </c>
      <c r="G42" s="93">
        <v>84</v>
      </c>
      <c r="H42" s="93">
        <v>1612</v>
      </c>
      <c r="I42" s="93">
        <v>419</v>
      </c>
      <c r="J42" s="94">
        <f>G42+H42+I42</f>
        <v>2115</v>
      </c>
      <c r="K42" s="217">
        <f t="shared" si="1"/>
        <v>-0.10721823554242293</v>
      </c>
      <c r="M42" s="93"/>
      <c r="N42" s="93"/>
      <c r="O42" s="93"/>
      <c r="P42" s="264">
        <f t="shared" si="3"/>
        <v>0</v>
      </c>
    </row>
    <row r="43" spans="2:16">
      <c r="B43" s="39" t="s">
        <v>155</v>
      </c>
      <c r="C43" s="93">
        <v>62</v>
      </c>
      <c r="D43" s="93">
        <v>1789</v>
      </c>
      <c r="E43" s="93">
        <v>227</v>
      </c>
      <c r="F43" s="94">
        <f t="shared" si="2"/>
        <v>2078</v>
      </c>
      <c r="G43" s="93">
        <v>46</v>
      </c>
      <c r="H43" s="93">
        <v>1579</v>
      </c>
      <c r="I43" s="93">
        <v>387</v>
      </c>
      <c r="J43" s="94">
        <f>G43+H43+I43</f>
        <v>2012</v>
      </c>
      <c r="K43" s="217">
        <f t="shared" si="1"/>
        <v>-3.1761308950914335E-2</v>
      </c>
      <c r="M43" s="93"/>
      <c r="N43" s="93"/>
      <c r="O43" s="93"/>
      <c r="P43" s="264">
        <f t="shared" si="3"/>
        <v>0</v>
      </c>
    </row>
    <row r="44" spans="2:16">
      <c r="B44" s="39" t="s">
        <v>156</v>
      </c>
      <c r="C44" s="93">
        <v>48</v>
      </c>
      <c r="D44" s="93">
        <v>1740</v>
      </c>
      <c r="E44" s="93">
        <v>360</v>
      </c>
      <c r="F44" s="94">
        <f t="shared" si="2"/>
        <v>2148</v>
      </c>
      <c r="G44" s="93">
        <v>36</v>
      </c>
      <c r="H44" s="93">
        <v>1709</v>
      </c>
      <c r="I44" s="93">
        <v>417</v>
      </c>
      <c r="J44" s="94">
        <f>G44+H44+I44</f>
        <v>2162</v>
      </c>
      <c r="K44" s="217">
        <f>(J44/F44)-1</f>
        <v>6.5176908752326845E-3</v>
      </c>
      <c r="M44" s="93"/>
      <c r="N44" s="93"/>
      <c r="O44" s="93"/>
      <c r="P44" s="264">
        <f t="shared" si="3"/>
        <v>0</v>
      </c>
    </row>
    <row r="45" spans="2:16">
      <c r="B45" s="39" t="s">
        <v>157</v>
      </c>
      <c r="C45" s="93">
        <v>24</v>
      </c>
      <c r="D45" s="93">
        <v>1714</v>
      </c>
      <c r="E45" s="93">
        <v>334</v>
      </c>
      <c r="F45" s="94">
        <f t="shared" si="2"/>
        <v>2072</v>
      </c>
      <c r="G45" s="93">
        <v>30</v>
      </c>
      <c r="H45" s="93">
        <v>1813</v>
      </c>
      <c r="I45" s="93">
        <v>379</v>
      </c>
      <c r="J45" s="94">
        <f>G45+H45+I45</f>
        <v>2222</v>
      </c>
      <c r="K45" s="217">
        <f>(J45/F45)-1</f>
        <v>7.2393822393822305E-2</v>
      </c>
      <c r="M45" s="93"/>
      <c r="N45" s="93"/>
      <c r="O45" s="93"/>
      <c r="P45" s="264">
        <f t="shared" si="3"/>
        <v>0</v>
      </c>
    </row>
    <row r="46" spans="2:16" ht="15.75" thickBot="1">
      <c r="B46" s="39" t="s">
        <v>158</v>
      </c>
      <c r="C46" s="93">
        <v>76</v>
      </c>
      <c r="D46" s="93">
        <v>1823</v>
      </c>
      <c r="E46" s="93">
        <v>254</v>
      </c>
      <c r="F46" s="94">
        <f t="shared" si="2"/>
        <v>2153</v>
      </c>
      <c r="G46" s="93">
        <v>36</v>
      </c>
      <c r="H46" s="93">
        <v>1951</v>
      </c>
      <c r="I46" s="93">
        <v>297</v>
      </c>
      <c r="J46" s="94">
        <f>G46+H46+I46</f>
        <v>2284</v>
      </c>
      <c r="K46" s="217">
        <f>(J46/F46)-1</f>
        <v>6.0845332094751514E-2</v>
      </c>
      <c r="M46" s="93"/>
      <c r="N46" s="93"/>
      <c r="O46" s="93"/>
      <c r="P46" s="264">
        <f t="shared" si="3"/>
        <v>0</v>
      </c>
    </row>
    <row r="47" spans="2:16" ht="21" thickBot="1">
      <c r="B47" s="97" t="s">
        <v>15</v>
      </c>
      <c r="C47" s="98">
        <f>SUM(C35:C46)</f>
        <v>514</v>
      </c>
      <c r="D47" s="99">
        <f>SUM(D35:D46)</f>
        <v>21829</v>
      </c>
      <c r="E47" s="99">
        <f>SUM(E35:E46)</f>
        <v>3470</v>
      </c>
      <c r="F47" s="100">
        <f>SUM(F35:F46)</f>
        <v>25813</v>
      </c>
      <c r="G47" s="98">
        <f t="shared" ref="G47:J47" si="4">SUM(G35:G46)</f>
        <v>448</v>
      </c>
      <c r="H47" s="98">
        <f t="shared" si="4"/>
        <v>19785</v>
      </c>
      <c r="I47" s="98">
        <f t="shared" si="4"/>
        <v>4246</v>
      </c>
      <c r="J47" s="98">
        <f t="shared" si="4"/>
        <v>24479</v>
      </c>
      <c r="K47" s="181">
        <f>(J47/(F35+F36+F37+F38+F39+F40+F41))-1</f>
        <v>0.63269525778696734</v>
      </c>
      <c r="M47" s="265">
        <f t="shared" ref="M47:P47" si="5">SUM(M35:M46)</f>
        <v>135</v>
      </c>
      <c r="N47" s="265">
        <f t="shared" si="5"/>
        <v>9018</v>
      </c>
      <c r="O47" s="265">
        <f t="shared" si="5"/>
        <v>2074</v>
      </c>
      <c r="P47" s="265">
        <f t="shared" si="5"/>
        <v>11227</v>
      </c>
    </row>
    <row r="48" spans="2:16" ht="15.75" thickBot="1">
      <c r="F48" s="28"/>
    </row>
    <row r="49" spans="2:12">
      <c r="B49" s="51"/>
      <c r="C49" s="436">
        <v>2024</v>
      </c>
      <c r="D49" s="437"/>
      <c r="E49" s="437"/>
      <c r="F49" s="439"/>
      <c r="G49" s="436">
        <v>2025</v>
      </c>
      <c r="H49" s="437"/>
      <c r="I49" s="437"/>
      <c r="J49" s="437"/>
      <c r="K49" s="438"/>
    </row>
    <row r="50" spans="2:12" ht="52.5" customHeight="1">
      <c r="B50" s="52"/>
      <c r="C50" s="30" t="s">
        <v>162</v>
      </c>
      <c r="D50" s="30" t="s">
        <v>163</v>
      </c>
      <c r="E50" s="30" t="s">
        <v>164</v>
      </c>
      <c r="F50" s="31" t="s">
        <v>15</v>
      </c>
      <c r="G50" s="30" t="s">
        <v>162</v>
      </c>
      <c r="H50" s="30" t="s">
        <v>163</v>
      </c>
      <c r="I50" s="30" t="s">
        <v>164</v>
      </c>
      <c r="J50" s="32" t="s">
        <v>15</v>
      </c>
      <c r="K50" s="101" t="s">
        <v>161</v>
      </c>
    </row>
    <row r="51" spans="2:12" ht="27.75" customHeight="1">
      <c r="B51" s="152" t="s">
        <v>165</v>
      </c>
      <c r="C51" s="96">
        <v>514</v>
      </c>
      <c r="D51" s="96">
        <v>21829</v>
      </c>
      <c r="E51" s="96">
        <v>3470</v>
      </c>
      <c r="F51" s="153">
        <f>C51+D51+E51</f>
        <v>25813</v>
      </c>
      <c r="G51" s="96">
        <v>448</v>
      </c>
      <c r="H51" s="96">
        <v>19785</v>
      </c>
      <c r="I51" s="96">
        <v>4246</v>
      </c>
      <c r="J51" s="153">
        <f>G51+H51+I51</f>
        <v>24479</v>
      </c>
      <c r="K51" s="182">
        <f>+K46</f>
        <v>6.0845332094751514E-2</v>
      </c>
    </row>
    <row r="52" spans="2:12" ht="18">
      <c r="B52" s="36"/>
      <c r="C52" s="37"/>
      <c r="D52" s="37"/>
      <c r="E52" s="37"/>
      <c r="F52" s="37"/>
      <c r="G52" s="37"/>
      <c r="H52" s="37"/>
      <c r="I52" s="37"/>
      <c r="J52" s="37"/>
      <c r="K52" s="38"/>
    </row>
    <row r="53" spans="2:12" ht="18">
      <c r="B53" s="36"/>
      <c r="C53" s="37"/>
      <c r="D53" s="37"/>
      <c r="E53" s="37"/>
      <c r="F53" s="37"/>
      <c r="G53" s="37"/>
      <c r="H53" s="37"/>
      <c r="I53" s="37"/>
      <c r="J53" s="37"/>
      <c r="K53" s="38"/>
    </row>
    <row r="54" spans="2:12" ht="18">
      <c r="B54" s="36"/>
      <c r="C54" s="37"/>
      <c r="D54" s="37"/>
      <c r="E54" s="37"/>
      <c r="F54" s="37"/>
      <c r="G54" s="37"/>
      <c r="H54" s="37"/>
      <c r="I54" s="37"/>
      <c r="J54" s="37"/>
      <c r="K54" s="38"/>
    </row>
    <row r="55" spans="2:12" ht="18">
      <c r="B55" s="36"/>
      <c r="C55" s="37"/>
      <c r="D55" s="37"/>
      <c r="E55" s="37"/>
      <c r="F55" s="37"/>
      <c r="G55" s="37"/>
      <c r="H55" s="37"/>
      <c r="I55" s="37"/>
      <c r="J55" s="37"/>
      <c r="K55" s="38"/>
    </row>
    <row r="56" spans="2:12" ht="18">
      <c r="B56" s="36"/>
      <c r="C56" s="37"/>
      <c r="D56" s="37"/>
      <c r="E56" s="37"/>
      <c r="F56" s="37"/>
      <c r="G56" s="37"/>
      <c r="H56" s="37"/>
      <c r="I56" s="37"/>
      <c r="J56" s="37"/>
      <c r="K56" s="38"/>
    </row>
    <row r="57" spans="2:12">
      <c r="K57" s="180"/>
    </row>
    <row r="60" spans="2:12" ht="30.75" customHeight="1" thickBot="1">
      <c r="B60" s="434" t="s">
        <v>166</v>
      </c>
      <c r="C60" s="435"/>
      <c r="D60" s="435"/>
      <c r="E60" s="435"/>
      <c r="F60" s="435"/>
      <c r="G60" s="435"/>
      <c r="H60" s="435"/>
      <c r="I60" s="435"/>
      <c r="J60" s="147"/>
      <c r="K60" s="147"/>
    </row>
    <row r="61" spans="2:12" ht="33.75" customHeight="1" thickBot="1">
      <c r="B61" s="278" t="s">
        <v>167</v>
      </c>
      <c r="C61" s="279" t="s">
        <v>4</v>
      </c>
      <c r="D61" s="279" t="s">
        <v>5</v>
      </c>
      <c r="E61" s="279" t="s">
        <v>6</v>
      </c>
      <c r="F61" s="279" t="s">
        <v>7</v>
      </c>
      <c r="G61" s="279" t="s">
        <v>10</v>
      </c>
      <c r="H61" s="279" t="s">
        <v>168</v>
      </c>
      <c r="I61" s="281" t="s">
        <v>169</v>
      </c>
      <c r="J61" s="283" t="s">
        <v>15</v>
      </c>
    </row>
    <row r="62" spans="2:12" ht="30.75" customHeight="1">
      <c r="B62" s="278" t="s">
        <v>170</v>
      </c>
      <c r="C62" s="54">
        <f>C63+C64+C65+C66</f>
        <v>379</v>
      </c>
      <c r="D62" s="54">
        <f>D63+D64+D65+D66</f>
        <v>136</v>
      </c>
      <c r="E62" s="54">
        <f>E63+E64+E65+E66</f>
        <v>101</v>
      </c>
      <c r="F62" s="54">
        <f t="shared" ref="F62:I62" si="6">F63+F64+F65+F66</f>
        <v>158</v>
      </c>
      <c r="G62" s="54">
        <f t="shared" si="6"/>
        <v>58</v>
      </c>
      <c r="H62" s="54">
        <f t="shared" si="6"/>
        <v>0</v>
      </c>
      <c r="I62" s="285">
        <f t="shared" si="6"/>
        <v>0</v>
      </c>
      <c r="J62" s="113">
        <f>SUM(C62:I62)</f>
        <v>832</v>
      </c>
    </row>
    <row r="63" spans="2:12" ht="45.75" customHeight="1">
      <c r="B63" s="56" t="s">
        <v>171</v>
      </c>
      <c r="C63" s="55">
        <v>200</v>
      </c>
      <c r="D63" s="55">
        <v>57</v>
      </c>
      <c r="E63" s="55">
        <v>53</v>
      </c>
      <c r="F63" s="55">
        <v>65</v>
      </c>
      <c r="G63" s="55">
        <v>35</v>
      </c>
      <c r="H63" s="55">
        <v>0</v>
      </c>
      <c r="I63" s="287">
        <v>0</v>
      </c>
      <c r="J63" s="292">
        <f>SUM(D63:I63)</f>
        <v>210</v>
      </c>
      <c r="L63" s="111"/>
    </row>
    <row r="64" spans="2:12" ht="45.75" customHeight="1">
      <c r="B64" s="56" t="s">
        <v>172</v>
      </c>
      <c r="C64" s="55">
        <v>138</v>
      </c>
      <c r="D64" s="55">
        <v>54</v>
      </c>
      <c r="E64" s="55">
        <v>39</v>
      </c>
      <c r="F64" s="55">
        <v>61</v>
      </c>
      <c r="G64" s="55">
        <v>17</v>
      </c>
      <c r="H64" s="55">
        <v>0</v>
      </c>
      <c r="I64" s="287">
        <v>0</v>
      </c>
      <c r="J64" s="292">
        <f>SUM(D64:I64)</f>
        <v>171</v>
      </c>
      <c r="L64" s="111"/>
    </row>
    <row r="65" spans="2:12" ht="45.75" customHeight="1">
      <c r="B65" s="56" t="s">
        <v>173</v>
      </c>
      <c r="C65" s="55">
        <v>25</v>
      </c>
      <c r="D65" s="55">
        <v>21</v>
      </c>
      <c r="E65" s="55">
        <v>5</v>
      </c>
      <c r="F65" s="55">
        <v>26</v>
      </c>
      <c r="G65" s="55">
        <v>2</v>
      </c>
      <c r="H65" s="55">
        <v>0</v>
      </c>
      <c r="I65" s="287">
        <v>0</v>
      </c>
      <c r="J65" s="292">
        <f>SUM(D65:I65)</f>
        <v>54</v>
      </c>
      <c r="L65" s="111"/>
    </row>
    <row r="66" spans="2:12" ht="45.75" customHeight="1" thickBot="1">
      <c r="B66" s="154" t="s">
        <v>174</v>
      </c>
      <c r="C66" s="155">
        <v>16</v>
      </c>
      <c r="D66" s="155">
        <v>4</v>
      </c>
      <c r="E66" s="155">
        <v>4</v>
      </c>
      <c r="F66" s="155">
        <v>6</v>
      </c>
      <c r="G66" s="155">
        <v>4</v>
      </c>
      <c r="H66" s="155">
        <v>0</v>
      </c>
      <c r="I66" s="287">
        <v>0</v>
      </c>
      <c r="J66" s="292">
        <f>SUM(D66:I66)</f>
        <v>18</v>
      </c>
      <c r="L66" s="111"/>
    </row>
    <row r="67" spans="2:12" ht="45.75" customHeight="1" thickBot="1">
      <c r="B67" s="282" t="s">
        <v>175</v>
      </c>
      <c r="C67" s="288">
        <f>(C62/J62)</f>
        <v>0.45552884615384615</v>
      </c>
      <c r="D67" s="288">
        <f>(D62/J62)</f>
        <v>0.16346153846153846</v>
      </c>
      <c r="E67" s="288">
        <f>(E62/J62)</f>
        <v>0.12139423076923077</v>
      </c>
      <c r="F67" s="288">
        <f>(F62/J62)</f>
        <v>0.18990384615384615</v>
      </c>
      <c r="G67" s="288">
        <f>(G62/J62)</f>
        <v>6.9711538461538464E-2</v>
      </c>
      <c r="H67" s="288">
        <f>(H62/J62)</f>
        <v>0</v>
      </c>
      <c r="I67" s="288">
        <f>(I62/J62)</f>
        <v>0</v>
      </c>
      <c r="J67" s="294">
        <f>C67+D67+E67+F67+G67+H67</f>
        <v>0.99999999999999989</v>
      </c>
      <c r="L67" s="111"/>
    </row>
    <row r="68" spans="2:12" ht="15.75" thickBot="1">
      <c r="C68" s="119"/>
      <c r="D68" s="120"/>
      <c r="E68" s="120"/>
      <c r="F68" s="120"/>
      <c r="G68" s="120"/>
      <c r="H68" s="121"/>
      <c r="I68" s="118"/>
      <c r="J68" s="118"/>
    </row>
    <row r="69" spans="2:12" ht="24" customHeight="1" thickBot="1">
      <c r="B69" s="425" t="s">
        <v>176</v>
      </c>
      <c r="C69" s="426"/>
      <c r="D69" s="426"/>
      <c r="E69" s="426"/>
      <c r="F69" s="426"/>
      <c r="G69" s="426"/>
      <c r="H69" s="427"/>
      <c r="I69" s="118"/>
      <c r="J69" s="118"/>
      <c r="K69" s="25"/>
    </row>
    <row r="70" spans="2:12" ht="30" customHeight="1" thickBot="1">
      <c r="B70" s="114" t="s">
        <v>167</v>
      </c>
      <c r="C70" s="115" t="s">
        <v>4</v>
      </c>
      <c r="D70" s="115" t="s">
        <v>5</v>
      </c>
      <c r="E70" s="115" t="s">
        <v>6</v>
      </c>
      <c r="F70" s="115" t="s">
        <v>7</v>
      </c>
      <c r="G70" s="115" t="s">
        <v>10</v>
      </c>
      <c r="H70" s="129" t="s">
        <v>15</v>
      </c>
      <c r="J70" s="116"/>
    </row>
    <row r="71" spans="2:12" ht="18.75" thickBot="1">
      <c r="B71" s="162" t="s">
        <v>170</v>
      </c>
      <c r="C71" s="54">
        <f>+C62</f>
        <v>379</v>
      </c>
      <c r="D71" s="54">
        <f>+D62</f>
        <v>136</v>
      </c>
      <c r="E71" s="54">
        <f>+E62</f>
        <v>101</v>
      </c>
      <c r="F71" s="54">
        <f>+F62</f>
        <v>158</v>
      </c>
      <c r="G71" s="54">
        <f>+G62</f>
        <v>58</v>
      </c>
      <c r="H71" s="123">
        <f>SUM(C71:G71)</f>
        <v>832</v>
      </c>
      <c r="J71" s="117"/>
    </row>
    <row r="73" spans="2:12" ht="15.75" thickBot="1"/>
    <row r="74" spans="2:12" ht="35.25" customHeight="1" thickBot="1">
      <c r="B74" s="422" t="s">
        <v>177</v>
      </c>
      <c r="C74" s="423"/>
      <c r="D74" s="423"/>
      <c r="E74" s="423"/>
      <c r="F74" s="423"/>
      <c r="G74" s="423"/>
      <c r="H74" s="423"/>
      <c r="I74" s="423"/>
      <c r="J74" s="424"/>
      <c r="K74" s="163"/>
    </row>
    <row r="75" spans="2:12" ht="35.25" customHeight="1">
      <c r="B75" s="280" t="s">
        <v>167</v>
      </c>
      <c r="C75" s="281" t="s">
        <v>4</v>
      </c>
      <c r="D75" s="281" t="s">
        <v>178</v>
      </c>
      <c r="E75" s="281" t="s">
        <v>6</v>
      </c>
      <c r="F75" s="281" t="s">
        <v>7</v>
      </c>
      <c r="G75" s="281" t="s">
        <v>10</v>
      </c>
      <c r="H75" s="279" t="s">
        <v>168</v>
      </c>
      <c r="I75" s="281" t="s">
        <v>169</v>
      </c>
      <c r="J75" s="284" t="s">
        <v>15</v>
      </c>
    </row>
    <row r="76" spans="2:12" ht="33" customHeight="1">
      <c r="B76" s="280" t="s">
        <v>170</v>
      </c>
      <c r="C76" s="285">
        <f>C77+C78+C79+C80</f>
        <v>337</v>
      </c>
      <c r="D76" s="285">
        <f t="shared" ref="D76:I76" si="7">D77+D78+D79+D80</f>
        <v>137</v>
      </c>
      <c r="E76" s="285">
        <f t="shared" si="7"/>
        <v>74</v>
      </c>
      <c r="F76" s="285">
        <f t="shared" si="7"/>
        <v>64</v>
      </c>
      <c r="G76" s="285">
        <f t="shared" si="7"/>
        <v>50</v>
      </c>
      <c r="H76" s="285">
        <f t="shared" si="7"/>
        <v>0</v>
      </c>
      <c r="I76" s="285">
        <f t="shared" si="7"/>
        <v>0</v>
      </c>
      <c r="J76" s="286">
        <f>SUM(C76:I76)</f>
        <v>662</v>
      </c>
    </row>
    <row r="77" spans="2:12" ht="51" customHeight="1">
      <c r="B77" s="56" t="s">
        <v>171</v>
      </c>
      <c r="C77" s="287">
        <v>95</v>
      </c>
      <c r="D77" s="287">
        <v>31</v>
      </c>
      <c r="E77" s="287">
        <v>20</v>
      </c>
      <c r="F77" s="287">
        <v>26</v>
      </c>
      <c r="G77" s="287">
        <v>36</v>
      </c>
      <c r="H77" s="287">
        <v>0</v>
      </c>
      <c r="I77" s="287">
        <v>0</v>
      </c>
      <c r="J77" s="290">
        <f>SUM(C77:I77)</f>
        <v>208</v>
      </c>
      <c r="K77" s="28"/>
    </row>
    <row r="78" spans="2:12" ht="51" customHeight="1">
      <c r="B78" s="56" t="s">
        <v>172</v>
      </c>
      <c r="C78" s="287">
        <v>182</v>
      </c>
      <c r="D78" s="287">
        <v>69</v>
      </c>
      <c r="E78" s="287">
        <v>32</v>
      </c>
      <c r="F78" s="287">
        <v>18</v>
      </c>
      <c r="G78" s="287">
        <v>9</v>
      </c>
      <c r="H78" s="287">
        <v>0</v>
      </c>
      <c r="I78" s="287">
        <v>0</v>
      </c>
      <c r="J78" s="290">
        <f>SUM(C78:I78)</f>
        <v>310</v>
      </c>
    </row>
    <row r="79" spans="2:12" ht="51" customHeight="1">
      <c r="B79" s="56" t="s">
        <v>173</v>
      </c>
      <c r="C79" s="287">
        <v>40</v>
      </c>
      <c r="D79" s="287">
        <v>26</v>
      </c>
      <c r="E79" s="287">
        <v>11</v>
      </c>
      <c r="F79" s="287">
        <v>12</v>
      </c>
      <c r="G79" s="287">
        <v>2</v>
      </c>
      <c r="H79" s="287">
        <v>0</v>
      </c>
      <c r="I79" s="287">
        <v>0</v>
      </c>
      <c r="J79" s="291">
        <f>SUM(C79:I79)</f>
        <v>91</v>
      </c>
    </row>
    <row r="80" spans="2:12" ht="51" customHeight="1" thickBot="1">
      <c r="B80" s="154" t="s">
        <v>174</v>
      </c>
      <c r="C80" s="287">
        <v>20</v>
      </c>
      <c r="D80" s="287">
        <v>11</v>
      </c>
      <c r="E80" s="287">
        <v>11</v>
      </c>
      <c r="F80" s="287">
        <v>8</v>
      </c>
      <c r="G80" s="287">
        <v>3</v>
      </c>
      <c r="H80" s="287">
        <v>0</v>
      </c>
      <c r="I80" s="287">
        <v>0</v>
      </c>
      <c r="J80" s="291">
        <f>SUM(C80:I80)</f>
        <v>53</v>
      </c>
    </row>
    <row r="81" spans="2:10" ht="44.25" customHeight="1" thickBot="1">
      <c r="B81" s="282" t="s">
        <v>175</v>
      </c>
      <c r="C81" s="289">
        <f>C76/J76</f>
        <v>0.50906344410876136</v>
      </c>
      <c r="D81" s="289">
        <f>D76/J76</f>
        <v>0.20694864048338368</v>
      </c>
      <c r="E81" s="289">
        <f>E76/J76</f>
        <v>0.11178247734138973</v>
      </c>
      <c r="F81" s="289">
        <f>F76/J76</f>
        <v>9.6676737160120846E-2</v>
      </c>
      <c r="G81" s="289">
        <f>G76/J76</f>
        <v>7.5528700906344406E-2</v>
      </c>
      <c r="H81" s="289">
        <f>H76/J76</f>
        <v>0</v>
      </c>
      <c r="I81" s="289">
        <f>I76/J76</f>
        <v>0</v>
      </c>
      <c r="J81" s="293">
        <f>C81+D81+E81+F81+G81+H81+I81</f>
        <v>1</v>
      </c>
    </row>
    <row r="83" spans="2:10" ht="15.75" thickBot="1"/>
    <row r="84" spans="2:10" ht="15.75" thickBot="1">
      <c r="B84" s="419" t="s">
        <v>176</v>
      </c>
      <c r="C84" s="420"/>
      <c r="D84" s="420"/>
      <c r="E84" s="420"/>
      <c r="F84" s="420"/>
      <c r="G84" s="420"/>
      <c r="H84" s="420"/>
      <c r="I84" s="420"/>
      <c r="J84" s="421"/>
    </row>
    <row r="85" spans="2:10" ht="15.75" thickBot="1">
      <c r="B85" s="114" t="s">
        <v>167</v>
      </c>
      <c r="C85" s="24" t="s">
        <v>4</v>
      </c>
      <c r="D85" s="24" t="s">
        <v>178</v>
      </c>
      <c r="E85" s="24" t="s">
        <v>6</v>
      </c>
      <c r="F85" s="24" t="s">
        <v>7</v>
      </c>
      <c r="G85" s="24" t="s">
        <v>10</v>
      </c>
      <c r="H85" s="24" t="s">
        <v>169</v>
      </c>
      <c r="I85" s="24" t="s">
        <v>179</v>
      </c>
      <c r="J85" s="129" t="s">
        <v>15</v>
      </c>
    </row>
    <row r="86" spans="2:10" ht="18.75" thickBot="1">
      <c r="B86" s="162" t="s">
        <v>170</v>
      </c>
      <c r="C86" s="122">
        <f t="shared" ref="C86:I86" si="8">+C76</f>
        <v>337</v>
      </c>
      <c r="D86" s="122">
        <f t="shared" si="8"/>
        <v>137</v>
      </c>
      <c r="E86" s="122">
        <f t="shared" si="8"/>
        <v>74</v>
      </c>
      <c r="F86" s="122">
        <f t="shared" si="8"/>
        <v>64</v>
      </c>
      <c r="G86" s="122">
        <f t="shared" si="8"/>
        <v>50</v>
      </c>
      <c r="H86" s="122">
        <f t="shared" si="8"/>
        <v>0</v>
      </c>
      <c r="I86" s="122">
        <f t="shared" si="8"/>
        <v>0</v>
      </c>
      <c r="J86" s="123">
        <f>SUM(C86:I86)</f>
        <v>662</v>
      </c>
    </row>
    <row r="88" spans="2:10" ht="21" customHeight="1" thickBot="1">
      <c r="C88" s="414" t="s">
        <v>147</v>
      </c>
      <c r="D88" s="415"/>
      <c r="E88" s="416"/>
      <c r="G88" s="102"/>
      <c r="H88" s="102"/>
      <c r="I88" s="102"/>
    </row>
    <row r="89" spans="2:10" ht="19.5" customHeight="1" thickBot="1">
      <c r="C89" s="61"/>
      <c r="D89" s="62">
        <v>2025</v>
      </c>
      <c r="E89" s="62">
        <v>2026</v>
      </c>
      <c r="G89" s="103"/>
      <c r="H89" s="102"/>
      <c r="I89" s="102"/>
    </row>
    <row r="90" spans="2:10" ht="31.5" customHeight="1" thickBot="1">
      <c r="C90" s="63" t="s">
        <v>15</v>
      </c>
      <c r="D90" s="64">
        <v>1814</v>
      </c>
      <c r="E90" s="64">
        <v>1947</v>
      </c>
      <c r="G90" s="104"/>
      <c r="H90" s="105"/>
      <c r="I90" s="105"/>
    </row>
    <row r="91" spans="2:10" ht="23.25" customHeight="1" thickBot="1">
      <c r="C91" s="65" t="s">
        <v>180</v>
      </c>
      <c r="D91" s="67">
        <v>937</v>
      </c>
      <c r="E91" s="67">
        <f>E90-E92</f>
        <v>1013</v>
      </c>
      <c r="G91" s="106">
        <f>(D91/D90)</f>
        <v>0.51653803748621829</v>
      </c>
      <c r="H91" s="106">
        <f>(E91/E90)</f>
        <v>0.5202876219825372</v>
      </c>
      <c r="I91" s="107"/>
    </row>
    <row r="92" spans="2:10" ht="23.25" customHeight="1" thickBot="1">
      <c r="C92" s="65" t="s">
        <v>181</v>
      </c>
      <c r="D92" s="66">
        <v>877</v>
      </c>
      <c r="E92" s="66">
        <v>934</v>
      </c>
      <c r="G92" s="106">
        <f>(D92/D90)</f>
        <v>0.48346196251378171</v>
      </c>
      <c r="H92" s="106">
        <f>(E92/E90)</f>
        <v>0.47971237801746275</v>
      </c>
      <c r="I92" s="107"/>
    </row>
    <row r="93" spans="2:10" ht="15.75" thickBot="1"/>
    <row r="94" spans="2:10" ht="23.25" customHeight="1" thickBot="1">
      <c r="C94" s="414" t="s">
        <v>148</v>
      </c>
      <c r="D94" s="415"/>
      <c r="E94" s="416"/>
    </row>
    <row r="95" spans="2:10" ht="23.25" customHeight="1" thickBot="1">
      <c r="C95" s="61"/>
      <c r="D95" s="62">
        <v>2025</v>
      </c>
      <c r="E95" s="62">
        <v>2026</v>
      </c>
    </row>
    <row r="96" spans="2:10" ht="21" thickBot="1">
      <c r="C96" s="63" t="s">
        <v>15</v>
      </c>
      <c r="D96" s="64">
        <v>1549</v>
      </c>
      <c r="E96" s="64">
        <v>1624</v>
      </c>
    </row>
    <row r="97" spans="3:8" ht="21" thickBot="1">
      <c r="C97" s="65" t="s">
        <v>180</v>
      </c>
      <c r="D97" s="67">
        <v>786</v>
      </c>
      <c r="E97" s="67">
        <f>E96-E98</f>
        <v>835</v>
      </c>
      <c r="G97" s="158">
        <f>D97/D96</f>
        <v>0.50742414460942542</v>
      </c>
      <c r="H97" s="158">
        <f>E97/E96</f>
        <v>0.51416256157635465</v>
      </c>
    </row>
    <row r="98" spans="3:8" ht="21" thickBot="1">
      <c r="C98" s="65" t="s">
        <v>181</v>
      </c>
      <c r="D98" s="66">
        <v>763</v>
      </c>
      <c r="E98" s="66">
        <v>789</v>
      </c>
      <c r="G98" s="158">
        <f>D98/D96</f>
        <v>0.49257585539057458</v>
      </c>
      <c r="H98" s="158">
        <f>E98/E96</f>
        <v>0.4858374384236453</v>
      </c>
    </row>
    <row r="99" spans="3:8" ht="15.75" thickBot="1"/>
    <row r="100" spans="3:8" ht="28.5" customHeight="1" thickBot="1">
      <c r="C100" s="414" t="s">
        <v>149</v>
      </c>
      <c r="D100" s="415"/>
      <c r="E100" s="416"/>
    </row>
    <row r="101" spans="3:8" ht="21" thickBot="1">
      <c r="C101" s="61"/>
      <c r="D101" s="62">
        <v>2025</v>
      </c>
      <c r="E101" s="62">
        <v>2026</v>
      </c>
    </row>
    <row r="102" spans="3:8" ht="21" thickBot="1">
      <c r="C102" s="63" t="s">
        <v>15</v>
      </c>
      <c r="D102" s="64">
        <v>1727</v>
      </c>
      <c r="E102" s="64">
        <v>1888</v>
      </c>
    </row>
    <row r="103" spans="3:8" ht="21" thickBot="1">
      <c r="C103" s="65" t="s">
        <v>180</v>
      </c>
      <c r="D103" s="67">
        <f>D102-D104</f>
        <v>891</v>
      </c>
      <c r="E103" s="67">
        <f>E102-E104</f>
        <v>974</v>
      </c>
      <c r="G103" s="158">
        <f>D103/D102</f>
        <v>0.51592356687898089</v>
      </c>
      <c r="H103" s="158">
        <f>E103/E102</f>
        <v>0.51588983050847459</v>
      </c>
    </row>
    <row r="104" spans="3:8" ht="21" thickBot="1">
      <c r="C104" s="65" t="s">
        <v>181</v>
      </c>
      <c r="D104" s="66">
        <v>836</v>
      </c>
      <c r="E104" s="66">
        <v>914</v>
      </c>
      <c r="G104" s="158">
        <f>D104/D102</f>
        <v>0.48407643312101911</v>
      </c>
      <c r="H104" s="158">
        <f>E104/E102</f>
        <v>0.48411016949152541</v>
      </c>
    </row>
    <row r="105" spans="3:8" ht="15.75" thickBot="1"/>
    <row r="106" spans="3:8" ht="27" customHeight="1" thickBot="1">
      <c r="C106" s="414" t="s">
        <v>150</v>
      </c>
      <c r="D106" s="415"/>
      <c r="E106" s="416"/>
    </row>
    <row r="107" spans="3:8" ht="21" thickBot="1">
      <c r="C107" s="61"/>
      <c r="D107" s="62">
        <v>2025</v>
      </c>
      <c r="E107" s="62">
        <v>2026</v>
      </c>
    </row>
    <row r="108" spans="3:8" ht="21" thickBot="1">
      <c r="C108" s="63" t="s">
        <v>15</v>
      </c>
      <c r="D108" s="64">
        <f>1484</f>
        <v>1484</v>
      </c>
      <c r="E108" s="64">
        <v>1751</v>
      </c>
    </row>
    <row r="109" spans="3:8" ht="21" thickBot="1">
      <c r="C109" s="65" t="s">
        <v>180</v>
      </c>
      <c r="D109" s="67">
        <f>D108-D110</f>
        <v>775</v>
      </c>
      <c r="E109" s="67">
        <f>E108-E110</f>
        <v>926</v>
      </c>
      <c r="G109" s="158">
        <f>D109/D108</f>
        <v>0.52223719676549862</v>
      </c>
      <c r="H109" s="158">
        <f>E109/E108</f>
        <v>0.52884066247858363</v>
      </c>
    </row>
    <row r="110" spans="3:8" ht="21" thickBot="1">
      <c r="C110" s="65" t="s">
        <v>181</v>
      </c>
      <c r="D110" s="67">
        <v>709</v>
      </c>
      <c r="E110" s="67">
        <v>825</v>
      </c>
      <c r="G110" s="158">
        <f>D110/D108</f>
        <v>0.47776280323450132</v>
      </c>
      <c r="H110" s="158">
        <f>E110/E108</f>
        <v>0.47115933752141631</v>
      </c>
    </row>
    <row r="111" spans="3:8" ht="15.75" thickBot="1"/>
    <row r="112" spans="3:8" ht="38.25" customHeight="1" thickBot="1">
      <c r="C112" s="414" t="s">
        <v>151</v>
      </c>
      <c r="D112" s="415"/>
      <c r="E112" s="416"/>
    </row>
    <row r="113" spans="3:12" ht="30" customHeight="1" thickBot="1">
      <c r="C113" s="61"/>
      <c r="D113" s="62">
        <v>2025</v>
      </c>
      <c r="E113" s="62">
        <v>2026</v>
      </c>
    </row>
    <row r="114" spans="3:12" ht="28.5" customHeight="1" thickBot="1">
      <c r="C114" s="63" t="s">
        <v>15</v>
      </c>
      <c r="D114" s="64">
        <f>D115+D116</f>
        <v>1765</v>
      </c>
      <c r="E114" s="64">
        <v>1808</v>
      </c>
    </row>
    <row r="115" spans="3:12" ht="28.5" customHeight="1" thickBot="1">
      <c r="C115" s="65" t="s">
        <v>180</v>
      </c>
      <c r="D115" s="67">
        <v>1103</v>
      </c>
      <c r="E115" s="67">
        <f>E114-E116</f>
        <v>976</v>
      </c>
      <c r="G115" s="158">
        <f>D115/D114</f>
        <v>0.62492917847025498</v>
      </c>
      <c r="H115" s="158">
        <f>E115/E114</f>
        <v>0.53982300884955747</v>
      </c>
    </row>
    <row r="116" spans="3:12" ht="26.25" customHeight="1" thickBot="1">
      <c r="C116" s="65" t="s">
        <v>181</v>
      </c>
      <c r="D116" s="67">
        <v>662</v>
      </c>
      <c r="E116" s="67">
        <v>832</v>
      </c>
      <c r="G116" s="158">
        <f>D116/D114</f>
        <v>0.37507082152974502</v>
      </c>
      <c r="H116" s="158">
        <f>E116/E114</f>
        <v>0.46017699115044247</v>
      </c>
    </row>
    <row r="117" spans="3:12" ht="15.75" thickBot="1"/>
    <row r="118" spans="3:12" ht="36" customHeight="1" thickBot="1">
      <c r="C118" s="414" t="s">
        <v>152</v>
      </c>
      <c r="D118" s="415"/>
      <c r="E118" s="416"/>
    </row>
    <row r="119" spans="3:12" ht="21" thickBot="1">
      <c r="C119" s="61"/>
      <c r="D119" s="62">
        <v>2025</v>
      </c>
      <c r="E119" s="62">
        <v>2026</v>
      </c>
    </row>
    <row r="120" spans="3:12" ht="21" thickBot="1">
      <c r="C120" s="63" t="s">
        <v>15</v>
      </c>
      <c r="D120" s="64"/>
      <c r="E120" s="64"/>
    </row>
    <row r="121" spans="3:12" ht="21" thickBot="1">
      <c r="C121" s="65" t="s">
        <v>180</v>
      </c>
      <c r="D121" s="67"/>
      <c r="E121" s="67"/>
      <c r="G121" s="158" t="e">
        <f>D121/D120</f>
        <v>#DIV/0!</v>
      </c>
      <c r="H121" s="158" t="e">
        <f>E121/E120</f>
        <v>#DIV/0!</v>
      </c>
    </row>
    <row r="122" spans="3:12" ht="21" thickBot="1">
      <c r="C122" s="65" t="s">
        <v>181</v>
      </c>
      <c r="D122" s="67"/>
      <c r="E122" s="67"/>
      <c r="G122" s="158" t="e">
        <f>D122/D120</f>
        <v>#DIV/0!</v>
      </c>
      <c r="H122" s="158" t="e">
        <f>E122/E120</f>
        <v>#DIV/0!</v>
      </c>
    </row>
    <row r="123" spans="3:12" ht="15.75" thickBot="1"/>
    <row r="124" spans="3:12" ht="33.75" customHeight="1" thickBot="1">
      <c r="C124" s="414" t="s">
        <v>153</v>
      </c>
      <c r="D124" s="415"/>
      <c r="E124" s="416"/>
    </row>
    <row r="125" spans="3:12" ht="21" thickBot="1">
      <c r="C125" s="61"/>
      <c r="D125" s="62">
        <v>2025</v>
      </c>
      <c r="E125" s="62">
        <v>2026</v>
      </c>
    </row>
    <row r="126" spans="3:12" ht="29.25" customHeight="1" thickBot="1">
      <c r="C126" s="63" t="s">
        <v>15</v>
      </c>
      <c r="D126" s="64"/>
      <c r="E126" s="64"/>
    </row>
    <row r="127" spans="3:12" ht="28.5" customHeight="1" thickBot="1">
      <c r="C127" s="65" t="s">
        <v>180</v>
      </c>
      <c r="D127" s="67"/>
      <c r="E127" s="67"/>
      <c r="G127" s="158" t="e">
        <f>D127/D126</f>
        <v>#DIV/0!</v>
      </c>
      <c r="H127" s="158" t="e">
        <f>E127/E126</f>
        <v>#DIV/0!</v>
      </c>
      <c r="L127" s="28"/>
    </row>
    <row r="128" spans="3:12" ht="30" customHeight="1" thickBot="1">
      <c r="C128" s="65" t="s">
        <v>181</v>
      </c>
      <c r="D128" s="67"/>
      <c r="E128" s="67"/>
      <c r="G128" s="158" t="e">
        <f>D128/D126</f>
        <v>#DIV/0!</v>
      </c>
      <c r="H128" s="158" t="e">
        <f>E128/E126</f>
        <v>#DIV/0!</v>
      </c>
    </row>
    <row r="129" spans="3:12" ht="15.75" thickBot="1"/>
    <row r="130" spans="3:12" ht="21" thickBot="1">
      <c r="C130" s="414" t="s">
        <v>154</v>
      </c>
      <c r="D130" s="415"/>
      <c r="E130" s="416"/>
    </row>
    <row r="131" spans="3:12" ht="21" thickBot="1">
      <c r="C131" s="61"/>
      <c r="D131" s="62">
        <v>2025</v>
      </c>
      <c r="E131" s="62">
        <v>2026</v>
      </c>
    </row>
    <row r="132" spans="3:12" ht="21" thickBot="1">
      <c r="C132" s="63" t="s">
        <v>15</v>
      </c>
      <c r="D132" s="64"/>
      <c r="E132" s="64"/>
    </row>
    <row r="133" spans="3:12" ht="21" thickBot="1">
      <c r="C133" s="65" t="s">
        <v>180</v>
      </c>
      <c r="D133" s="67"/>
      <c r="E133" s="67"/>
      <c r="G133" s="158" t="e">
        <f>D133/D132</f>
        <v>#DIV/0!</v>
      </c>
      <c r="H133" s="158" t="e">
        <f>E133/E132</f>
        <v>#DIV/0!</v>
      </c>
    </row>
    <row r="134" spans="3:12" ht="21" thickBot="1">
      <c r="C134" s="65" t="s">
        <v>181</v>
      </c>
      <c r="D134" s="67"/>
      <c r="E134" s="67"/>
      <c r="G134" s="158" t="e">
        <f>D134/D132</f>
        <v>#DIV/0!</v>
      </c>
      <c r="H134" s="158" t="e">
        <f>E134/E132</f>
        <v>#DIV/0!</v>
      </c>
    </row>
    <row r="135" spans="3:12" ht="15.75" thickBot="1"/>
    <row r="136" spans="3:12" ht="21" thickBot="1">
      <c r="C136" s="414" t="s">
        <v>155</v>
      </c>
      <c r="D136" s="415"/>
      <c r="E136" s="416"/>
    </row>
    <row r="137" spans="3:12" ht="21" thickBot="1">
      <c r="C137" s="61"/>
      <c r="D137" s="62">
        <v>2025</v>
      </c>
      <c r="E137" s="62">
        <v>2026</v>
      </c>
    </row>
    <row r="138" spans="3:12" ht="21" thickBot="1">
      <c r="C138" s="63" t="s">
        <v>15</v>
      </c>
      <c r="D138" s="64"/>
      <c r="E138" s="64"/>
      <c r="L138" s="28"/>
    </row>
    <row r="139" spans="3:12" ht="21" thickBot="1">
      <c r="C139" s="65" t="s">
        <v>180</v>
      </c>
      <c r="D139" s="67"/>
      <c r="E139" s="67"/>
      <c r="G139" s="158" t="e">
        <f>D139/D138</f>
        <v>#DIV/0!</v>
      </c>
      <c r="H139" s="158" t="e">
        <f>E139/E138</f>
        <v>#DIV/0!</v>
      </c>
    </row>
    <row r="140" spans="3:12" ht="21" thickBot="1">
      <c r="C140" s="65" t="s">
        <v>181</v>
      </c>
      <c r="D140" s="67"/>
      <c r="E140" s="67"/>
      <c r="G140" s="158" t="e">
        <f>D140/D138</f>
        <v>#DIV/0!</v>
      </c>
      <c r="H140" s="158" t="e">
        <f>E140/E138</f>
        <v>#DIV/0!</v>
      </c>
    </row>
    <row r="141" spans="3:12" ht="15.75" thickBot="1"/>
    <row r="142" spans="3:12" ht="21" thickBot="1">
      <c r="C142" s="414" t="s">
        <v>156</v>
      </c>
      <c r="D142" s="415"/>
      <c r="E142" s="416"/>
    </row>
    <row r="143" spans="3:12" ht="21" thickBot="1">
      <c r="C143" s="61"/>
      <c r="D143" s="62">
        <v>2025</v>
      </c>
      <c r="E143" s="62">
        <v>2026</v>
      </c>
    </row>
    <row r="144" spans="3:12" ht="21" thickBot="1">
      <c r="C144" s="63" t="s">
        <v>15</v>
      </c>
      <c r="D144" s="64"/>
      <c r="E144" s="64"/>
    </row>
    <row r="145" spans="3:8" ht="21" thickBot="1">
      <c r="C145" s="65" t="s">
        <v>180</v>
      </c>
      <c r="D145" s="67"/>
      <c r="E145" s="67"/>
      <c r="G145" s="158" t="e">
        <f>D145/D144</f>
        <v>#DIV/0!</v>
      </c>
      <c r="H145" s="158" t="e">
        <f>E145/E144</f>
        <v>#DIV/0!</v>
      </c>
    </row>
    <row r="146" spans="3:8" ht="21" thickBot="1">
      <c r="C146" s="65" t="s">
        <v>181</v>
      </c>
      <c r="D146" s="67"/>
      <c r="E146" s="67"/>
      <c r="G146" s="158" t="e">
        <f>D146/D144</f>
        <v>#DIV/0!</v>
      </c>
      <c r="H146" s="158" t="e">
        <f>E146/E144</f>
        <v>#DIV/0!</v>
      </c>
    </row>
    <row r="147" spans="3:8" ht="21" thickBot="1">
      <c r="C147" s="220"/>
      <c r="D147" s="221"/>
      <c r="E147" s="221"/>
      <c r="G147" s="158"/>
      <c r="H147" s="158"/>
    </row>
    <row r="148" spans="3:8" ht="21" thickBot="1">
      <c r="C148" s="414" t="s">
        <v>157</v>
      </c>
      <c r="D148" s="415"/>
      <c r="E148" s="416"/>
    </row>
    <row r="149" spans="3:8" ht="21" thickBot="1">
      <c r="C149" s="61"/>
      <c r="D149" s="62">
        <v>2025</v>
      </c>
      <c r="E149" s="62">
        <v>2026</v>
      </c>
    </row>
    <row r="150" spans="3:8" ht="19.5" customHeight="1" thickBot="1">
      <c r="C150" s="63" t="s">
        <v>15</v>
      </c>
      <c r="D150" s="64"/>
      <c r="E150" s="64"/>
    </row>
    <row r="151" spans="3:8" ht="21" thickBot="1">
      <c r="C151" s="65" t="s">
        <v>180</v>
      </c>
      <c r="D151" s="67"/>
      <c r="E151" s="67"/>
      <c r="G151" s="158" t="e">
        <f>D151/D150</f>
        <v>#DIV/0!</v>
      </c>
      <c r="H151" s="158" t="e">
        <f>E151/E150</f>
        <v>#DIV/0!</v>
      </c>
    </row>
    <row r="152" spans="3:8" ht="21" thickBot="1">
      <c r="C152" s="65" t="s">
        <v>181</v>
      </c>
      <c r="D152" s="67"/>
      <c r="E152" s="67"/>
      <c r="G152" s="158" t="e">
        <f>D152/D150</f>
        <v>#DIV/0!</v>
      </c>
      <c r="H152" s="158" t="e">
        <f>E152/E150</f>
        <v>#DIV/0!</v>
      </c>
    </row>
    <row r="153" spans="3:8" ht="15.75" thickBot="1"/>
    <row r="154" spans="3:8" ht="21" thickBot="1">
      <c r="C154" s="414" t="s">
        <v>158</v>
      </c>
      <c r="D154" s="415"/>
      <c r="E154" s="416"/>
    </row>
    <row r="155" spans="3:8" ht="21" thickBot="1">
      <c r="C155" s="61"/>
      <c r="D155" s="62">
        <v>2025</v>
      </c>
      <c r="E155" s="62">
        <v>2026</v>
      </c>
    </row>
    <row r="156" spans="3:8" ht="21" thickBot="1">
      <c r="C156" s="63" t="s">
        <v>15</v>
      </c>
      <c r="D156" s="64"/>
      <c r="E156" s="64"/>
    </row>
    <row r="157" spans="3:8" ht="21" thickBot="1">
      <c r="C157" s="65" t="s">
        <v>180</v>
      </c>
      <c r="D157" s="67"/>
      <c r="E157" s="67"/>
      <c r="G157" s="158" t="e">
        <f>D157/D156</f>
        <v>#DIV/0!</v>
      </c>
      <c r="H157" s="158" t="e">
        <f>E157/E156</f>
        <v>#DIV/0!</v>
      </c>
    </row>
    <row r="158" spans="3:8" ht="21" thickBot="1">
      <c r="C158" s="65" t="s">
        <v>181</v>
      </c>
      <c r="D158" s="67"/>
      <c r="E158" s="67"/>
      <c r="G158" s="158" t="e">
        <f>D158/D156</f>
        <v>#DIV/0!</v>
      </c>
      <c r="H158" s="158" t="e">
        <f>E158/E156</f>
        <v>#DIV/0!</v>
      </c>
    </row>
    <row r="160" spans="3:8" ht="15.75" thickBot="1"/>
    <row r="161" spans="2:11" ht="15.75" thickBot="1">
      <c r="B161" s="409" t="s">
        <v>182</v>
      </c>
      <c r="C161" s="410"/>
      <c r="D161" s="410"/>
      <c r="E161" s="410"/>
      <c r="F161" s="410"/>
      <c r="G161" s="410"/>
      <c r="H161" s="410"/>
      <c r="I161" s="410"/>
      <c r="J161" s="410"/>
      <c r="K161" s="411"/>
    </row>
    <row r="162" spans="2:11" ht="18">
      <c r="B162" s="428" t="s">
        <v>160</v>
      </c>
      <c r="C162" s="430">
        <v>2025</v>
      </c>
      <c r="D162" s="431"/>
      <c r="E162" s="431"/>
      <c r="F162" s="432" t="s">
        <v>15</v>
      </c>
      <c r="G162" s="430">
        <v>2026</v>
      </c>
      <c r="H162" s="431"/>
      <c r="I162" s="431"/>
      <c r="J162" s="432" t="s">
        <v>15</v>
      </c>
      <c r="K162" s="417" t="s">
        <v>161</v>
      </c>
    </row>
    <row r="163" spans="2:11" ht="24.75" thickBot="1">
      <c r="B163" s="429"/>
      <c r="C163" s="22" t="s">
        <v>162</v>
      </c>
      <c r="D163" s="23" t="s">
        <v>163</v>
      </c>
      <c r="E163" s="23" t="s">
        <v>164</v>
      </c>
      <c r="F163" s="433"/>
      <c r="G163" s="22" t="s">
        <v>162</v>
      </c>
      <c r="H163" s="23" t="s">
        <v>163</v>
      </c>
      <c r="I163" s="23" t="s">
        <v>164</v>
      </c>
      <c r="J163" s="433"/>
      <c r="K163" s="418"/>
    </row>
    <row r="164" spans="2:11">
      <c r="B164" s="91" t="s">
        <v>147</v>
      </c>
      <c r="C164" s="92">
        <v>30</v>
      </c>
      <c r="D164" s="227">
        <v>1814</v>
      </c>
      <c r="E164" s="93">
        <v>302</v>
      </c>
      <c r="F164" s="94">
        <f>SUM(C164:E164)</f>
        <v>2146</v>
      </c>
      <c r="G164" s="92">
        <v>34</v>
      </c>
      <c r="H164" s="227">
        <v>1947</v>
      </c>
      <c r="I164" s="93">
        <v>307</v>
      </c>
      <c r="J164" s="94">
        <f>G164+H164+I164</f>
        <v>2288</v>
      </c>
      <c r="K164" s="95">
        <f t="shared" ref="K164:K172" si="9">(J164/F164)-1</f>
        <v>6.6169617893755861E-2</v>
      </c>
    </row>
    <row r="165" spans="2:11">
      <c r="B165" s="91" t="s">
        <v>148</v>
      </c>
      <c r="C165" s="92">
        <v>24</v>
      </c>
      <c r="D165" s="93">
        <v>1549</v>
      </c>
      <c r="E165" s="93">
        <v>353</v>
      </c>
      <c r="F165" s="94">
        <f>SUM(C165:E165)</f>
        <v>1926</v>
      </c>
      <c r="G165" s="92"/>
      <c r="H165" s="93"/>
      <c r="I165" s="93"/>
      <c r="J165" s="94"/>
      <c r="K165" s="161">
        <f t="shared" si="9"/>
        <v>-1</v>
      </c>
    </row>
    <row r="166" spans="2:11">
      <c r="B166" s="91" t="s">
        <v>149</v>
      </c>
      <c r="C166" s="92">
        <v>34</v>
      </c>
      <c r="D166" s="93">
        <v>1727</v>
      </c>
      <c r="E166" s="93">
        <v>387</v>
      </c>
      <c r="F166" s="94">
        <f>SUM(C166:E166)</f>
        <v>2148</v>
      </c>
      <c r="G166" s="92"/>
      <c r="H166" s="93"/>
      <c r="I166" s="93"/>
      <c r="J166" s="94"/>
      <c r="K166" s="95">
        <f t="shared" si="9"/>
        <v>-1</v>
      </c>
    </row>
    <row r="167" spans="2:11" ht="15.75">
      <c r="B167" s="35" t="s">
        <v>150</v>
      </c>
      <c r="C167" s="93">
        <v>38</v>
      </c>
      <c r="D167" s="93">
        <v>1484</v>
      </c>
      <c r="E167" s="93">
        <v>299</v>
      </c>
      <c r="F167" s="94">
        <v>1821</v>
      </c>
      <c r="G167" s="93"/>
      <c r="H167" s="93"/>
      <c r="I167" s="93"/>
      <c r="J167" s="94"/>
      <c r="K167" s="161">
        <f t="shared" si="9"/>
        <v>-1</v>
      </c>
    </row>
    <row r="168" spans="2:11">
      <c r="B168" s="39" t="s">
        <v>151</v>
      </c>
      <c r="C168" s="93">
        <v>20</v>
      </c>
      <c r="D168" s="93">
        <v>1410</v>
      </c>
      <c r="E168" s="93">
        <v>335</v>
      </c>
      <c r="F168" s="94">
        <v>1765</v>
      </c>
      <c r="G168" s="93"/>
      <c r="H168" s="93"/>
      <c r="I168" s="93"/>
      <c r="J168" s="94"/>
      <c r="K168" s="161">
        <f t="shared" si="9"/>
        <v>-1</v>
      </c>
    </row>
    <row r="169" spans="2:11">
      <c r="B169" s="39" t="s">
        <v>152</v>
      </c>
      <c r="C169" s="93">
        <v>28</v>
      </c>
      <c r="D169" s="93">
        <v>1542</v>
      </c>
      <c r="E169" s="93">
        <v>304</v>
      </c>
      <c r="F169" s="94">
        <v>1874</v>
      </c>
      <c r="G169" s="93"/>
      <c r="H169" s="93"/>
      <c r="I169" s="93"/>
      <c r="J169" s="94"/>
      <c r="K169" s="161">
        <f t="shared" si="9"/>
        <v>-1</v>
      </c>
    </row>
    <row r="170" spans="2:11">
      <c r="B170" s="39" t="s">
        <v>153</v>
      </c>
      <c r="C170" s="215">
        <v>42</v>
      </c>
      <c r="D170" s="93">
        <v>1595</v>
      </c>
      <c r="E170" s="215">
        <v>367</v>
      </c>
      <c r="F170" s="216">
        <v>2004</v>
      </c>
      <c r="G170" s="215"/>
      <c r="H170" s="215"/>
      <c r="I170" s="215"/>
      <c r="J170" s="216"/>
      <c r="K170" s="217">
        <f t="shared" si="9"/>
        <v>-1</v>
      </c>
    </row>
    <row r="171" spans="2:11">
      <c r="B171" s="39" t="s">
        <v>154</v>
      </c>
      <c r="C171" s="93">
        <v>84</v>
      </c>
      <c r="D171" s="93">
        <v>1612</v>
      </c>
      <c r="E171" s="93">
        <v>419</v>
      </c>
      <c r="F171" s="94">
        <f>C171+D171+E171</f>
        <v>2115</v>
      </c>
      <c r="G171" s="93"/>
      <c r="H171" s="93"/>
      <c r="I171" s="93"/>
      <c r="J171" s="94"/>
      <c r="K171" s="217">
        <f t="shared" si="9"/>
        <v>-1</v>
      </c>
    </row>
    <row r="172" spans="2:11">
      <c r="B172" s="39" t="s">
        <v>155</v>
      </c>
      <c r="C172" s="93">
        <v>46</v>
      </c>
      <c r="D172" s="93">
        <v>1579</v>
      </c>
      <c r="E172" s="93">
        <v>387</v>
      </c>
      <c r="F172" s="94">
        <f>C172+D172+E172</f>
        <v>2012</v>
      </c>
      <c r="G172" s="93"/>
      <c r="H172" s="93"/>
      <c r="I172" s="93"/>
      <c r="J172" s="94"/>
      <c r="K172" s="217">
        <f t="shared" si="9"/>
        <v>-1</v>
      </c>
    </row>
    <row r="173" spans="2:11">
      <c r="B173" s="39" t="s">
        <v>156</v>
      </c>
      <c r="C173" s="93">
        <v>36</v>
      </c>
      <c r="D173" s="93">
        <v>1709</v>
      </c>
      <c r="E173" s="93">
        <v>417</v>
      </c>
      <c r="F173" s="94">
        <f>C173+D173+E173</f>
        <v>2162</v>
      </c>
      <c r="G173" s="93"/>
      <c r="H173" s="93"/>
      <c r="I173" s="93"/>
      <c r="J173" s="94"/>
      <c r="K173" s="217">
        <f>(J173/F173)-1</f>
        <v>-1</v>
      </c>
    </row>
    <row r="174" spans="2:11">
      <c r="B174" s="39" t="s">
        <v>157</v>
      </c>
      <c r="C174" s="93">
        <v>30</v>
      </c>
      <c r="D174" s="93">
        <v>1813</v>
      </c>
      <c r="E174" s="93">
        <v>379</v>
      </c>
      <c r="F174" s="94">
        <f>C174+D174+E174</f>
        <v>2222</v>
      </c>
      <c r="G174" s="93"/>
      <c r="H174" s="93"/>
      <c r="I174" s="93"/>
      <c r="J174" s="94"/>
      <c r="K174" s="217">
        <f>(J174/F174)-1</f>
        <v>-1</v>
      </c>
    </row>
    <row r="175" spans="2:11" ht="15.75" thickBot="1">
      <c r="B175" s="39" t="s">
        <v>158</v>
      </c>
      <c r="C175" s="93">
        <v>36</v>
      </c>
      <c r="D175" s="93">
        <v>1951</v>
      </c>
      <c r="E175" s="93">
        <v>297</v>
      </c>
      <c r="F175" s="94">
        <f>C175+D175+E175</f>
        <v>2284</v>
      </c>
      <c r="G175" s="93"/>
      <c r="H175" s="93"/>
      <c r="I175" s="93"/>
      <c r="J175" s="94"/>
      <c r="K175" s="217">
        <f>(J175/F175)-1</f>
        <v>-1</v>
      </c>
    </row>
    <row r="176" spans="2:11" ht="21" thickBot="1">
      <c r="B176" s="97" t="s">
        <v>15</v>
      </c>
      <c r="C176" s="98">
        <f t="shared" ref="C176:J176" si="10">SUM(C164:C175)</f>
        <v>448</v>
      </c>
      <c r="D176" s="99">
        <f t="shared" si="10"/>
        <v>19785</v>
      </c>
      <c r="E176" s="99">
        <f t="shared" si="10"/>
        <v>4246</v>
      </c>
      <c r="F176" s="100">
        <f t="shared" si="10"/>
        <v>24479</v>
      </c>
      <c r="G176" s="98">
        <f t="shared" si="10"/>
        <v>34</v>
      </c>
      <c r="H176" s="98">
        <f t="shared" si="10"/>
        <v>1947</v>
      </c>
      <c r="I176" s="98">
        <f t="shared" si="10"/>
        <v>307</v>
      </c>
      <c r="J176" s="98">
        <f t="shared" si="10"/>
        <v>2288</v>
      </c>
      <c r="K176" s="181">
        <f>(J176/(F164+F165+F166+F167+F168+F169+F170))-1</f>
        <v>-0.83279742765273312</v>
      </c>
    </row>
  </sheetData>
  <mergeCells count="35">
    <mergeCell ref="B60:I60"/>
    <mergeCell ref="C148:E148"/>
    <mergeCell ref="C154:E154"/>
    <mergeCell ref="G49:K49"/>
    <mergeCell ref="C49:F49"/>
    <mergeCell ref="C100:E100"/>
    <mergeCell ref="C136:E136"/>
    <mergeCell ref="C130:E130"/>
    <mergeCell ref="C94:E94"/>
    <mergeCell ref="C88:E88"/>
    <mergeCell ref="C106:E106"/>
    <mergeCell ref="C142:E142"/>
    <mergeCell ref="B161:K161"/>
    <mergeCell ref="B162:B163"/>
    <mergeCell ref="C162:E162"/>
    <mergeCell ref="F162:F163"/>
    <mergeCell ref="G162:I162"/>
    <mergeCell ref="J162:J163"/>
    <mergeCell ref="K162:K163"/>
    <mergeCell ref="B2:M2"/>
    <mergeCell ref="B32:K32"/>
    <mergeCell ref="M33:O33"/>
    <mergeCell ref="P33:P34"/>
    <mergeCell ref="C124:E124"/>
    <mergeCell ref="K33:K34"/>
    <mergeCell ref="B84:J84"/>
    <mergeCell ref="C118:E118"/>
    <mergeCell ref="B74:J74"/>
    <mergeCell ref="B69:H69"/>
    <mergeCell ref="C112:E112"/>
    <mergeCell ref="B33:B34"/>
    <mergeCell ref="C33:E33"/>
    <mergeCell ref="F33:F34"/>
    <mergeCell ref="G33:I33"/>
    <mergeCell ref="J33:J34"/>
  </mergeCells>
  <pageMargins left="0.7" right="0.7" top="0.75" bottom="0.75" header="0.3" footer="0.3"/>
  <pageSetup scale="52" orientation="portrait" r:id="rId1"/>
  <colBreaks count="1" manualBreakCount="1">
    <brk id="11" max="17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59"/>
  <sheetViews>
    <sheetView workbookViewId="0">
      <selection activeCell="F44" sqref="F44"/>
    </sheetView>
  </sheetViews>
  <sheetFormatPr baseColWidth="10" defaultColWidth="11.42578125" defaultRowHeight="15"/>
  <cols>
    <col min="2" max="2" width="19.85546875" customWidth="1"/>
    <col min="3" max="3" width="18.7109375" customWidth="1"/>
    <col min="4" max="10" width="11.140625" customWidth="1"/>
    <col min="11" max="14" width="13.28515625" customWidth="1"/>
    <col min="23" max="23" width="32.42578125" customWidth="1"/>
  </cols>
  <sheetData>
    <row r="1" spans="2:3" ht="15.75" thickBot="1"/>
    <row r="2" spans="2:3" ht="23.25" customHeight="1">
      <c r="B2" s="443" t="s">
        <v>183</v>
      </c>
      <c r="C2" s="444"/>
    </row>
    <row r="3" spans="2:3" ht="18.75" customHeight="1">
      <c r="B3" s="57" t="s">
        <v>1</v>
      </c>
      <c r="C3" s="58" t="s">
        <v>184</v>
      </c>
    </row>
    <row r="4" spans="2:3" ht="18.75" customHeight="1">
      <c r="B4" s="125" t="s">
        <v>5</v>
      </c>
      <c r="C4" s="126">
        <v>7087</v>
      </c>
    </row>
    <row r="5" spans="2:3" ht="18.75" customHeight="1">
      <c r="B5" s="125" t="s">
        <v>10</v>
      </c>
      <c r="C5" s="126">
        <v>0</v>
      </c>
    </row>
    <row r="6" spans="2:3" ht="18.75" customHeight="1">
      <c r="B6" s="125" t="s">
        <v>185</v>
      </c>
      <c r="C6" s="126">
        <v>79253</v>
      </c>
    </row>
    <row r="7" spans="2:3" ht="26.25" customHeight="1" thickBot="1">
      <c r="B7" s="127" t="s">
        <v>15</v>
      </c>
      <c r="C7" s="128">
        <f>SUM(C4:C6)</f>
        <v>86340</v>
      </c>
    </row>
    <row r="8" spans="2:3" ht="15.75" thickBot="1"/>
    <row r="9" spans="2:3" ht="37.5" customHeight="1">
      <c r="B9" s="450" t="s">
        <v>186</v>
      </c>
      <c r="C9" s="451"/>
    </row>
    <row r="10" spans="2:3">
      <c r="B10" s="57" t="s">
        <v>1</v>
      </c>
      <c r="C10" s="58" t="s">
        <v>184</v>
      </c>
    </row>
    <row r="11" spans="2:3">
      <c r="B11" s="125" t="s">
        <v>10</v>
      </c>
      <c r="C11" s="126">
        <v>0</v>
      </c>
    </row>
    <row r="12" spans="2:3">
      <c r="B12" s="125" t="s">
        <v>5</v>
      </c>
      <c r="C12" s="126">
        <f>7435+8512+10466+13305+7087</f>
        <v>46805</v>
      </c>
    </row>
    <row r="13" spans="2:3">
      <c r="B13" s="125" t="s">
        <v>185</v>
      </c>
      <c r="C13" s="126">
        <f>62350+80852+66737+57122+79253</f>
        <v>346314</v>
      </c>
    </row>
    <row r="14" spans="2:3" ht="15.75" thickBot="1">
      <c r="B14" s="159" t="s">
        <v>187</v>
      </c>
      <c r="C14" s="128">
        <f>SUM(C11:C13)</f>
        <v>393119</v>
      </c>
    </row>
    <row r="16" spans="2:3" ht="15.75" thickBot="1"/>
    <row r="17" spans="2:14" ht="33.75" customHeight="1">
      <c r="B17" s="450" t="s">
        <v>188</v>
      </c>
      <c r="C17" s="451"/>
    </row>
    <row r="18" spans="2:14">
      <c r="B18" s="57" t="s">
        <v>1</v>
      </c>
      <c r="C18" s="58" t="s">
        <v>184</v>
      </c>
    </row>
    <row r="19" spans="2:14">
      <c r="B19" s="125" t="s">
        <v>10</v>
      </c>
      <c r="C19" s="126">
        <v>0</v>
      </c>
    </row>
    <row r="20" spans="2:14">
      <c r="B20" s="125" t="s">
        <v>5</v>
      </c>
      <c r="C20" s="126">
        <v>0</v>
      </c>
    </row>
    <row r="21" spans="2:14">
      <c r="B21" s="125" t="s">
        <v>185</v>
      </c>
      <c r="C21" s="126">
        <v>0</v>
      </c>
    </row>
    <row r="22" spans="2:14" ht="15.75" thickBot="1">
      <c r="B22" s="159" t="s">
        <v>15</v>
      </c>
      <c r="C22" s="128">
        <f>SUM(C19:C21)</f>
        <v>0</v>
      </c>
    </row>
    <row r="23" spans="2:14" ht="15.75" thickBot="1"/>
    <row r="24" spans="2:14" ht="15.75" thickBot="1">
      <c r="B24" s="79"/>
      <c r="C24" s="458" t="s">
        <v>189</v>
      </c>
      <c r="D24" s="459"/>
      <c r="E24" s="459"/>
      <c r="F24" s="459"/>
      <c r="G24" s="459"/>
      <c r="H24" s="459"/>
      <c r="I24" s="459"/>
      <c r="J24" s="459"/>
      <c r="K24" s="459"/>
      <c r="L24" s="459"/>
      <c r="M24" s="459"/>
      <c r="N24" s="460"/>
    </row>
    <row r="25" spans="2:14">
      <c r="B25" s="80"/>
      <c r="C25" s="186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8"/>
    </row>
    <row r="26" spans="2:14">
      <c r="B26" s="89" t="s">
        <v>190</v>
      </c>
      <c r="C26" s="81" t="s">
        <v>191</v>
      </c>
      <c r="D26" s="82" t="s">
        <v>192</v>
      </c>
      <c r="E26" s="82" t="s">
        <v>193</v>
      </c>
      <c r="F26" s="82" t="s">
        <v>194</v>
      </c>
      <c r="G26" s="82" t="s">
        <v>195</v>
      </c>
      <c r="H26" s="82" t="s">
        <v>196</v>
      </c>
      <c r="I26" s="82" t="s">
        <v>197</v>
      </c>
      <c r="J26" s="82" t="s">
        <v>198</v>
      </c>
      <c r="K26" s="82" t="s">
        <v>199</v>
      </c>
      <c r="L26" s="82" t="s">
        <v>200</v>
      </c>
      <c r="M26" s="82" t="s">
        <v>201</v>
      </c>
      <c r="N26" s="83" t="s">
        <v>202</v>
      </c>
    </row>
    <row r="27" spans="2:14">
      <c r="B27" s="84" t="s">
        <v>203</v>
      </c>
      <c r="C27" s="85">
        <v>7435</v>
      </c>
      <c r="D27" s="86">
        <v>8512</v>
      </c>
      <c r="E27" s="86">
        <v>10466</v>
      </c>
      <c r="F27" s="86">
        <v>13305</v>
      </c>
      <c r="G27" s="86">
        <v>7087</v>
      </c>
      <c r="H27" s="86"/>
      <c r="I27" s="86"/>
      <c r="J27" s="86"/>
      <c r="K27" s="86"/>
      <c r="L27" s="86"/>
      <c r="M27" s="86"/>
      <c r="N27" s="87"/>
    </row>
    <row r="28" spans="2:14">
      <c r="B28" s="88" t="s">
        <v>204</v>
      </c>
      <c r="C28" s="456">
        <f>SUM(C27:N27)</f>
        <v>46805</v>
      </c>
      <c r="D28" s="457"/>
      <c r="E28" s="457"/>
      <c r="F28" s="457"/>
      <c r="G28" s="457"/>
      <c r="H28" s="457"/>
      <c r="I28" s="457"/>
      <c r="J28" s="457"/>
      <c r="K28" s="457"/>
      <c r="L28" s="189"/>
      <c r="M28" s="189"/>
      <c r="N28" s="190"/>
    </row>
    <row r="29" spans="2:14" ht="12.75" customHeight="1" thickBot="1">
      <c r="B29" s="452" t="s">
        <v>205</v>
      </c>
      <c r="C29" s="453"/>
      <c r="D29" s="453"/>
      <c r="E29" s="453"/>
      <c r="F29" s="453"/>
      <c r="G29" s="453"/>
      <c r="H29" s="453"/>
      <c r="I29" s="453"/>
      <c r="J29" s="184"/>
      <c r="K29" s="184"/>
      <c r="L29" s="184"/>
      <c r="M29" s="184"/>
      <c r="N29" s="185"/>
    </row>
    <row r="30" spans="2:14" ht="15.75" thickBot="1"/>
    <row r="31" spans="2:14" ht="15.75" thickBot="1">
      <c r="B31" s="26"/>
      <c r="C31" s="461" t="s">
        <v>206</v>
      </c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3"/>
    </row>
    <row r="32" spans="2:14">
      <c r="B32" s="27"/>
      <c r="C32" s="191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3"/>
    </row>
    <row r="33" spans="2:15">
      <c r="B33" s="225" t="s">
        <v>190</v>
      </c>
      <c r="C33" s="73" t="s">
        <v>191</v>
      </c>
      <c r="D33" s="74" t="s">
        <v>192</v>
      </c>
      <c r="E33" s="74" t="s">
        <v>193</v>
      </c>
      <c r="F33" s="74" t="s">
        <v>194</v>
      </c>
      <c r="G33" s="74" t="s">
        <v>195</v>
      </c>
      <c r="H33" s="74" t="s">
        <v>196</v>
      </c>
      <c r="I33" s="74" t="s">
        <v>197</v>
      </c>
      <c r="J33" s="74" t="s">
        <v>198</v>
      </c>
      <c r="K33" s="74" t="s">
        <v>199</v>
      </c>
      <c r="L33" s="74" t="s">
        <v>200</v>
      </c>
      <c r="M33" s="74" t="s">
        <v>201</v>
      </c>
      <c r="N33" s="75" t="s">
        <v>202</v>
      </c>
    </row>
    <row r="34" spans="2:15">
      <c r="B34" s="70" t="s">
        <v>203</v>
      </c>
      <c r="C34" s="71">
        <v>62350</v>
      </c>
      <c r="D34" s="72">
        <v>80852</v>
      </c>
      <c r="E34" s="72">
        <v>66737</v>
      </c>
      <c r="F34" s="72">
        <v>57122</v>
      </c>
      <c r="G34" s="72">
        <v>79253</v>
      </c>
      <c r="H34" s="72"/>
      <c r="I34" s="72"/>
      <c r="J34" s="72"/>
      <c r="K34" s="72"/>
      <c r="L34" s="72"/>
      <c r="M34" s="72"/>
      <c r="N34" s="43"/>
    </row>
    <row r="35" spans="2:15">
      <c r="B35" s="69" t="s">
        <v>207</v>
      </c>
      <c r="C35" s="454">
        <f>SUM(C34:N34)</f>
        <v>346314</v>
      </c>
      <c r="D35" s="455"/>
      <c r="E35" s="455"/>
      <c r="F35" s="455"/>
      <c r="G35" s="455"/>
      <c r="H35" s="455"/>
      <c r="I35" s="455"/>
      <c r="J35" s="455"/>
      <c r="K35" s="455"/>
      <c r="L35" s="194"/>
      <c r="M35" s="194"/>
      <c r="N35" s="195"/>
    </row>
    <row r="36" spans="2:15" ht="15.75" customHeight="1" thickBot="1">
      <c r="B36" s="464" t="s">
        <v>205</v>
      </c>
      <c r="C36" s="465"/>
      <c r="D36" s="465"/>
      <c r="E36" s="465"/>
      <c r="F36" s="465"/>
      <c r="G36" s="465"/>
      <c r="H36" s="465"/>
      <c r="I36" s="465"/>
      <c r="J36" s="196"/>
      <c r="K36" s="196"/>
      <c r="L36" s="196"/>
      <c r="M36" s="196"/>
      <c r="N36" s="197"/>
    </row>
    <row r="37" spans="2:15" ht="15.75" thickBot="1"/>
    <row r="38" spans="2:15" ht="15.75" thickBot="1">
      <c r="B38" s="26"/>
      <c r="C38" s="445" t="s">
        <v>206</v>
      </c>
      <c r="D38" s="446"/>
      <c r="E38" s="446"/>
      <c r="F38" s="446"/>
      <c r="G38" s="446"/>
      <c r="H38" s="446"/>
      <c r="I38" s="446"/>
      <c r="J38" s="446"/>
      <c r="K38" s="446"/>
      <c r="L38" s="446"/>
      <c r="M38" s="446"/>
      <c r="N38" s="447"/>
    </row>
    <row r="39" spans="2:15" ht="19.5" customHeight="1">
      <c r="B39" s="27"/>
      <c r="C39" s="448"/>
      <c r="D39" s="448"/>
      <c r="E39" s="448"/>
      <c r="F39" s="448"/>
      <c r="G39" s="448"/>
      <c r="H39" s="448"/>
      <c r="I39" s="448"/>
      <c r="J39" s="448"/>
      <c r="K39" s="448"/>
      <c r="L39" s="448"/>
      <c r="M39" s="448"/>
      <c r="N39" s="449"/>
    </row>
    <row r="40" spans="2:15">
      <c r="B40" s="226" t="s">
        <v>190</v>
      </c>
      <c r="C40" s="76" t="s">
        <v>191</v>
      </c>
      <c r="D40" s="76" t="s">
        <v>192</v>
      </c>
      <c r="E40" s="76" t="s">
        <v>193</v>
      </c>
      <c r="F40" s="76" t="s">
        <v>194</v>
      </c>
      <c r="G40" s="76" t="s">
        <v>195</v>
      </c>
      <c r="H40" s="76" t="s">
        <v>196</v>
      </c>
      <c r="I40" s="76" t="s">
        <v>197</v>
      </c>
      <c r="J40" s="76" t="s">
        <v>198</v>
      </c>
      <c r="K40" s="76" t="s">
        <v>199</v>
      </c>
      <c r="L40" s="76" t="s">
        <v>200</v>
      </c>
      <c r="M40" s="76" t="s">
        <v>201</v>
      </c>
      <c r="N40" s="77" t="s">
        <v>202</v>
      </c>
    </row>
    <row r="41" spans="2:15">
      <c r="B41" s="78" t="s">
        <v>203</v>
      </c>
      <c r="C41" s="72">
        <v>0</v>
      </c>
      <c r="D41" s="72">
        <v>0</v>
      </c>
      <c r="E41" s="72">
        <v>0</v>
      </c>
      <c r="F41" s="72">
        <v>0</v>
      </c>
      <c r="G41" s="72">
        <v>0</v>
      </c>
      <c r="H41" s="72"/>
      <c r="I41" s="72"/>
      <c r="J41" s="72"/>
      <c r="K41" s="72"/>
      <c r="L41" s="72"/>
      <c r="M41" s="72"/>
      <c r="N41" s="43"/>
    </row>
    <row r="42" spans="2:15">
      <c r="B42" s="68" t="s">
        <v>204</v>
      </c>
      <c r="C42" s="467">
        <f>+C41</f>
        <v>0</v>
      </c>
      <c r="D42" s="455"/>
      <c r="E42" s="455"/>
      <c r="F42" s="455"/>
      <c r="G42" s="455"/>
      <c r="H42" s="455"/>
      <c r="I42" s="455"/>
      <c r="J42" s="455"/>
      <c r="K42" s="455"/>
      <c r="L42" s="194"/>
      <c r="M42" s="194"/>
      <c r="N42" s="195"/>
    </row>
    <row r="43" spans="2:15" ht="14.25" customHeight="1" thickBot="1">
      <c r="B43" s="452" t="s">
        <v>205</v>
      </c>
      <c r="C43" s="453"/>
      <c r="D43" s="453"/>
      <c r="E43" s="453"/>
      <c r="F43" s="453"/>
      <c r="G43" s="453"/>
      <c r="H43" s="453"/>
      <c r="I43" s="453"/>
      <c r="J43" s="453"/>
      <c r="K43" s="453"/>
      <c r="L43" s="453"/>
      <c r="M43" s="453"/>
      <c r="N43" s="466"/>
    </row>
    <row r="46" spans="2:15">
      <c r="B46" s="468" t="s">
        <v>208</v>
      </c>
      <c r="C46" s="469"/>
      <c r="D46" s="469"/>
      <c r="E46" s="469"/>
      <c r="F46" s="469"/>
      <c r="G46" s="469"/>
      <c r="H46" s="469"/>
      <c r="I46" s="469"/>
      <c r="J46" s="469"/>
      <c r="K46" s="469"/>
      <c r="L46" s="469"/>
      <c r="M46" s="469"/>
      <c r="N46" s="470"/>
      <c r="O46" s="304"/>
    </row>
    <row r="47" spans="2:15">
      <c r="B47" s="295" t="s">
        <v>190</v>
      </c>
      <c r="C47" s="108" t="s">
        <v>191</v>
      </c>
      <c r="D47" s="108" t="s">
        <v>192</v>
      </c>
      <c r="E47" s="108" t="s">
        <v>193</v>
      </c>
      <c r="F47" s="108" t="s">
        <v>194</v>
      </c>
      <c r="G47" s="108" t="s">
        <v>195</v>
      </c>
      <c r="H47" s="108" t="s">
        <v>196</v>
      </c>
      <c r="I47" s="108" t="s">
        <v>197</v>
      </c>
      <c r="J47" s="108" t="s">
        <v>198</v>
      </c>
      <c r="K47" s="108" t="s">
        <v>199</v>
      </c>
      <c r="L47" s="108" t="s">
        <v>200</v>
      </c>
      <c r="M47" s="108" t="s">
        <v>201</v>
      </c>
      <c r="N47" s="108" t="s">
        <v>202</v>
      </c>
      <c r="O47" s="275" t="s">
        <v>203</v>
      </c>
    </row>
    <row r="48" spans="2:15">
      <c r="B48" s="296" t="s">
        <v>185</v>
      </c>
      <c r="C48" s="86">
        <v>62350</v>
      </c>
      <c r="D48" s="86">
        <v>80852</v>
      </c>
      <c r="E48" s="86">
        <v>66737</v>
      </c>
      <c r="F48" s="86">
        <v>57122</v>
      </c>
      <c r="G48" s="86">
        <v>79253</v>
      </c>
      <c r="H48" s="86"/>
      <c r="I48" s="86"/>
      <c r="J48" s="86"/>
      <c r="K48" s="86"/>
      <c r="L48" s="86"/>
      <c r="M48" s="86"/>
      <c r="N48" s="86"/>
      <c r="O48" s="274">
        <f>SUM(C48:N48)</f>
        <v>346314</v>
      </c>
    </row>
    <row r="49" spans="2:15">
      <c r="B49" s="296" t="s">
        <v>5</v>
      </c>
      <c r="C49" s="86">
        <v>7435</v>
      </c>
      <c r="D49" s="86">
        <v>8512</v>
      </c>
      <c r="E49" s="86">
        <v>10466</v>
      </c>
      <c r="F49" s="86">
        <v>13305</v>
      </c>
      <c r="G49" s="86">
        <v>7087</v>
      </c>
      <c r="H49" s="86"/>
      <c r="I49" s="86"/>
      <c r="J49" s="86"/>
      <c r="K49" s="86"/>
      <c r="L49" s="86"/>
      <c r="M49" s="86"/>
      <c r="N49" s="86"/>
      <c r="O49" s="274">
        <f>SUM(C49:N49)</f>
        <v>46805</v>
      </c>
    </row>
    <row r="50" spans="2:15">
      <c r="B50" s="296" t="s">
        <v>10</v>
      </c>
      <c r="C50" s="86">
        <v>0</v>
      </c>
      <c r="D50" s="86">
        <v>0</v>
      </c>
      <c r="E50" s="86">
        <v>0</v>
      </c>
      <c r="F50" s="86">
        <v>0</v>
      </c>
      <c r="G50" s="86">
        <v>0</v>
      </c>
      <c r="H50" s="86"/>
      <c r="I50" s="86"/>
      <c r="J50" s="86"/>
      <c r="K50" s="86"/>
      <c r="L50" s="86"/>
      <c r="M50" s="86"/>
      <c r="N50" s="86"/>
      <c r="O50" s="274">
        <f t="shared" ref="O50:O51" si="0">SUM(C50:N50)</f>
        <v>0</v>
      </c>
    </row>
    <row r="51" spans="2:15" ht="18">
      <c r="B51" s="297" t="s">
        <v>187</v>
      </c>
      <c r="C51" s="90">
        <f t="shared" ref="C51:F51" si="1">SUM(C48:C50)</f>
        <v>69785</v>
      </c>
      <c r="D51" s="90">
        <f t="shared" si="1"/>
        <v>89364</v>
      </c>
      <c r="E51" s="90">
        <f t="shared" si="1"/>
        <v>77203</v>
      </c>
      <c r="F51" s="90">
        <f t="shared" si="1"/>
        <v>70427</v>
      </c>
      <c r="G51" s="90">
        <f>SUM(G48:G50)</f>
        <v>86340</v>
      </c>
      <c r="H51" s="90">
        <f>SUM(H48:H50)</f>
        <v>0</v>
      </c>
      <c r="I51" s="90">
        <f>SUM(I48:I50)</f>
        <v>0</v>
      </c>
      <c r="J51" s="90">
        <f t="shared" ref="J51:N51" si="2">SUM(J48:J50)</f>
        <v>0</v>
      </c>
      <c r="K51" s="90">
        <f t="shared" si="2"/>
        <v>0</v>
      </c>
      <c r="L51" s="90">
        <f t="shared" si="2"/>
        <v>0</v>
      </c>
      <c r="M51" s="90">
        <f>SUM(M48:M50)</f>
        <v>0</v>
      </c>
      <c r="N51" s="90">
        <f t="shared" si="2"/>
        <v>0</v>
      </c>
      <c r="O51" s="274">
        <f t="shared" si="0"/>
        <v>393119</v>
      </c>
    </row>
    <row r="52" spans="2:15" ht="18">
      <c r="B52" s="298" t="s">
        <v>204</v>
      </c>
      <c r="C52" s="471">
        <f>SUM(C51:N51)</f>
        <v>393119</v>
      </c>
      <c r="D52" s="472"/>
      <c r="E52" s="472"/>
      <c r="F52" s="472"/>
      <c r="G52" s="472"/>
      <c r="H52" s="472"/>
      <c r="I52" s="472"/>
      <c r="J52" s="472"/>
      <c r="K52" s="472"/>
      <c r="L52" s="472"/>
      <c r="M52" s="472"/>
      <c r="N52" s="473"/>
      <c r="O52" s="299"/>
    </row>
    <row r="53" spans="2:15" ht="17.25" customHeight="1">
      <c r="B53" s="300" t="s">
        <v>209</v>
      </c>
      <c r="C53" s="302">
        <f>C51-C57</f>
        <v>-17985</v>
      </c>
      <c r="D53" s="301">
        <f>D51-C51</f>
        <v>19579</v>
      </c>
      <c r="E53" s="302">
        <f>E51-D51</f>
        <v>-12161</v>
      </c>
      <c r="F53" s="302">
        <f>F51-E51</f>
        <v>-6776</v>
      </c>
      <c r="G53" s="302">
        <f>G51-F51</f>
        <v>15913</v>
      </c>
      <c r="H53" s="303"/>
      <c r="I53" s="303"/>
      <c r="J53" s="303"/>
      <c r="K53" s="303"/>
      <c r="L53" s="303"/>
      <c r="M53" s="303"/>
      <c r="N53" s="303"/>
      <c r="O53" s="299"/>
    </row>
    <row r="54" spans="2:15" ht="20.25" customHeight="1"/>
    <row r="55" spans="2:15">
      <c r="B55" s="440" t="s">
        <v>210</v>
      </c>
      <c r="C55" s="441"/>
      <c r="D55" s="441"/>
      <c r="E55" s="441"/>
      <c r="F55" s="441"/>
      <c r="G55" s="441"/>
      <c r="H55" s="441"/>
      <c r="I55" s="441"/>
      <c r="J55" s="441"/>
      <c r="K55" s="441"/>
      <c r="L55" s="441"/>
      <c r="M55" s="441"/>
      <c r="N55" s="442"/>
    </row>
    <row r="56" spans="2:15">
      <c r="B56" s="295" t="s">
        <v>190</v>
      </c>
      <c r="C56" s="108" t="s">
        <v>191</v>
      </c>
      <c r="D56" s="108" t="s">
        <v>192</v>
      </c>
      <c r="E56" s="108" t="s">
        <v>193</v>
      </c>
      <c r="F56" s="108" t="s">
        <v>194</v>
      </c>
      <c r="G56" s="108" t="s">
        <v>195</v>
      </c>
      <c r="H56" s="108" t="s">
        <v>196</v>
      </c>
      <c r="I56" s="108" t="s">
        <v>197</v>
      </c>
      <c r="J56" s="108" t="s">
        <v>198</v>
      </c>
      <c r="K56" s="108" t="s">
        <v>199</v>
      </c>
      <c r="L56" s="108" t="s">
        <v>200</v>
      </c>
      <c r="M56" s="108" t="s">
        <v>201</v>
      </c>
      <c r="N56" s="108" t="s">
        <v>202</v>
      </c>
    </row>
    <row r="57" spans="2:15">
      <c r="B57" s="296" t="s">
        <v>211</v>
      </c>
      <c r="C57" s="86">
        <v>87770</v>
      </c>
      <c r="D57" s="86">
        <v>76811</v>
      </c>
      <c r="E57" s="86">
        <v>66184</v>
      </c>
      <c r="F57" s="86">
        <v>67082</v>
      </c>
      <c r="G57" s="86">
        <v>66298</v>
      </c>
      <c r="H57" s="86">
        <v>69743</v>
      </c>
      <c r="I57" s="86">
        <v>56939</v>
      </c>
      <c r="J57" s="86">
        <v>67600</v>
      </c>
      <c r="K57" s="86">
        <v>65442</v>
      </c>
      <c r="L57" s="86">
        <v>67253</v>
      </c>
      <c r="M57" s="86">
        <v>82824</v>
      </c>
      <c r="N57" s="86">
        <v>74513</v>
      </c>
    </row>
    <row r="58" spans="2:15">
      <c r="B58" s="296" t="s">
        <v>212</v>
      </c>
      <c r="C58" s="86">
        <v>69785</v>
      </c>
      <c r="D58" s="86">
        <v>89364</v>
      </c>
      <c r="E58" s="86">
        <v>77203</v>
      </c>
      <c r="F58" s="86">
        <v>70427</v>
      </c>
      <c r="G58" s="86">
        <v>86340</v>
      </c>
      <c r="H58" s="86"/>
      <c r="I58" s="86"/>
      <c r="J58" s="86"/>
      <c r="K58" s="86"/>
      <c r="L58" s="86"/>
      <c r="M58" s="86"/>
      <c r="N58" s="86"/>
    </row>
    <row r="59" spans="2:15">
      <c r="B59" s="305" t="s">
        <v>213</v>
      </c>
      <c r="C59" s="307">
        <f>C58-C57</f>
        <v>-17985</v>
      </c>
      <c r="D59" s="306">
        <f t="shared" ref="D59:G59" si="3">D58-D57</f>
        <v>12553</v>
      </c>
      <c r="E59" s="306">
        <f t="shared" si="3"/>
        <v>11019</v>
      </c>
      <c r="F59" s="306">
        <f t="shared" si="3"/>
        <v>3345</v>
      </c>
      <c r="G59" s="306">
        <f t="shared" si="3"/>
        <v>20042</v>
      </c>
      <c r="H59" s="306"/>
      <c r="I59" s="306"/>
      <c r="J59" s="306"/>
      <c r="K59" s="306"/>
      <c r="L59" s="306"/>
      <c r="M59" s="306"/>
      <c r="N59" s="306"/>
    </row>
  </sheetData>
  <mergeCells count="16">
    <mergeCell ref="B55:N55"/>
    <mergeCell ref="B2:C2"/>
    <mergeCell ref="C38:N38"/>
    <mergeCell ref="C39:N39"/>
    <mergeCell ref="B17:C17"/>
    <mergeCell ref="B29:I29"/>
    <mergeCell ref="C35:K35"/>
    <mergeCell ref="C28:K28"/>
    <mergeCell ref="B9:C9"/>
    <mergeCell ref="C24:N24"/>
    <mergeCell ref="C31:N31"/>
    <mergeCell ref="B36:I36"/>
    <mergeCell ref="B43:N43"/>
    <mergeCell ref="C42:K42"/>
    <mergeCell ref="B46:N46"/>
    <mergeCell ref="C52:N52"/>
  </mergeCells>
  <pageMargins left="0.7" right="0.7" top="0.75" bottom="0.75" header="0.3" footer="0.3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1"/>
  <sheetViews>
    <sheetView workbookViewId="0">
      <selection activeCell="D8" sqref="D8"/>
    </sheetView>
  </sheetViews>
  <sheetFormatPr baseColWidth="10" defaultColWidth="11.42578125" defaultRowHeight="15"/>
  <cols>
    <col min="1" max="1" width="13.5703125" customWidth="1"/>
    <col min="2" max="2" width="13.140625" customWidth="1"/>
    <col min="3" max="3" width="9.42578125" customWidth="1"/>
    <col min="4" max="4" width="16.85546875" customWidth="1"/>
    <col min="5" max="5" width="17" customWidth="1"/>
    <col min="6" max="6" width="17.28515625" customWidth="1"/>
    <col min="7" max="7" width="3" customWidth="1"/>
    <col min="8" max="8" width="14.7109375" customWidth="1"/>
    <col min="9" max="9" width="14.140625" customWidth="1"/>
    <col min="10" max="10" width="9.7109375" customWidth="1"/>
    <col min="11" max="11" width="17.7109375" customWidth="1"/>
    <col min="12" max="13" width="16.28515625" customWidth="1"/>
  </cols>
  <sheetData>
    <row r="1" spans="1:13" ht="17.25" customHeight="1">
      <c r="A1" s="475" t="s">
        <v>214</v>
      </c>
      <c r="B1" s="476"/>
      <c r="C1" s="476"/>
      <c r="D1" s="476"/>
      <c r="E1" s="476"/>
      <c r="F1" s="477"/>
      <c r="H1" s="482" t="s">
        <v>215</v>
      </c>
      <c r="I1" s="483"/>
      <c r="J1" s="483"/>
      <c r="K1" s="483"/>
      <c r="L1" s="483"/>
      <c r="M1" s="484"/>
    </row>
    <row r="2" spans="1:13" ht="42" customHeight="1">
      <c r="A2" s="330" t="s">
        <v>160</v>
      </c>
      <c r="B2" s="331" t="s">
        <v>216</v>
      </c>
      <c r="C2" s="332" t="s">
        <v>217</v>
      </c>
      <c r="D2" s="332" t="s">
        <v>218</v>
      </c>
      <c r="E2" s="333" t="s">
        <v>219</v>
      </c>
      <c r="F2" s="333" t="s">
        <v>220</v>
      </c>
      <c r="H2" s="334" t="s">
        <v>160</v>
      </c>
      <c r="I2" s="335" t="s">
        <v>216</v>
      </c>
      <c r="J2" s="336" t="s">
        <v>217</v>
      </c>
      <c r="K2" s="336" t="s">
        <v>218</v>
      </c>
      <c r="L2" s="337" t="s">
        <v>219</v>
      </c>
      <c r="M2" s="337" t="s">
        <v>220</v>
      </c>
    </row>
    <row r="3" spans="1:13" ht="17.25" customHeight="1">
      <c r="A3" s="228" t="s">
        <v>147</v>
      </c>
      <c r="B3" s="478" t="s">
        <v>221</v>
      </c>
      <c r="C3" s="229">
        <v>23800</v>
      </c>
      <c r="D3" s="239">
        <v>2421001960</v>
      </c>
      <c r="E3" s="269"/>
      <c r="F3" s="272"/>
      <c r="H3" s="228" t="s">
        <v>147</v>
      </c>
      <c r="I3" s="478" t="s">
        <v>221</v>
      </c>
      <c r="J3" s="229">
        <v>24800</v>
      </c>
      <c r="K3" s="239">
        <v>2627831200</v>
      </c>
      <c r="L3" s="269"/>
      <c r="M3" s="272"/>
    </row>
    <row r="4" spans="1:13" ht="17.25" customHeight="1">
      <c r="A4" s="228" t="s">
        <v>148</v>
      </c>
      <c r="B4" s="479"/>
      <c r="C4" s="229">
        <v>23800</v>
      </c>
      <c r="D4" s="239">
        <v>1829861400</v>
      </c>
      <c r="E4" s="338">
        <f>D4-D3</f>
        <v>-591140560</v>
      </c>
      <c r="F4" s="272">
        <f>(D4/D3*100%)-100%</f>
        <v>-0.24417186345441866</v>
      </c>
      <c r="H4" s="228" t="s">
        <v>148</v>
      </c>
      <c r="I4" s="479"/>
      <c r="J4" s="229">
        <v>24800</v>
      </c>
      <c r="K4" s="239">
        <v>2126377076.1900001</v>
      </c>
      <c r="L4" s="338">
        <f>K4-K3</f>
        <v>-501454123.80999994</v>
      </c>
      <c r="M4" s="272">
        <f>(K4/K3*100%)-100%</f>
        <v>-0.19082432837010233</v>
      </c>
    </row>
    <row r="5" spans="1:13" ht="17.25" customHeight="1">
      <c r="A5" s="228" t="s">
        <v>149</v>
      </c>
      <c r="B5" s="479"/>
      <c r="C5" s="229">
        <v>23800</v>
      </c>
      <c r="D5" s="239">
        <v>2051386104</v>
      </c>
      <c r="E5" s="276">
        <f>D5-D4</f>
        <v>221524704</v>
      </c>
      <c r="F5" s="272">
        <f>(D5/D4*100%)-100%</f>
        <v>0.12106091969588517</v>
      </c>
      <c r="H5" s="228" t="s">
        <v>149</v>
      </c>
      <c r="I5" s="479"/>
      <c r="J5" s="229">
        <v>24800</v>
      </c>
      <c r="K5" s="239">
        <v>2367110400</v>
      </c>
      <c r="L5" s="276">
        <f>K5-K4</f>
        <v>240733323.80999994</v>
      </c>
      <c r="M5" s="272">
        <f>(K5/K4*100%)-100%</f>
        <v>0.11321290400728978</v>
      </c>
    </row>
    <row r="6" spans="1:13" ht="17.25" customHeight="1">
      <c r="A6" s="228" t="s">
        <v>150</v>
      </c>
      <c r="B6" s="479"/>
      <c r="C6" s="229">
        <v>23800</v>
      </c>
      <c r="D6" s="239">
        <v>1821101080</v>
      </c>
      <c r="E6" s="338">
        <f>D6-D5</f>
        <v>-230285024</v>
      </c>
      <c r="F6" s="272">
        <f>(D6/D5*100%)-100%</f>
        <v>-0.11225825482144336</v>
      </c>
      <c r="H6" s="228" t="s">
        <v>150</v>
      </c>
      <c r="I6" s="479"/>
      <c r="J6" s="229">
        <v>24800</v>
      </c>
      <c r="K6" s="239">
        <v>2110876800</v>
      </c>
      <c r="L6" s="338">
        <f>K6-K5</f>
        <v>-256233600</v>
      </c>
      <c r="M6" s="272">
        <f>(K6/K5*100%)-100%</f>
        <v>-0.10824742268041232</v>
      </c>
    </row>
    <row r="7" spans="1:13" ht="17.25" customHeight="1">
      <c r="A7" s="228" t="s">
        <v>151</v>
      </c>
      <c r="B7" s="479"/>
      <c r="C7" s="229">
        <v>23800</v>
      </c>
      <c r="D7" s="239"/>
      <c r="E7" s="230"/>
      <c r="F7" s="232"/>
      <c r="H7" s="228" t="s">
        <v>151</v>
      </c>
      <c r="I7" s="479"/>
      <c r="J7" s="229">
        <v>24800</v>
      </c>
      <c r="K7" s="239"/>
      <c r="L7" s="230"/>
      <c r="M7" s="232"/>
    </row>
    <row r="8" spans="1:13" ht="17.25" customHeight="1">
      <c r="A8" s="228" t="s">
        <v>152</v>
      </c>
      <c r="B8" s="479"/>
      <c r="C8" s="229">
        <v>23800</v>
      </c>
      <c r="D8" s="239"/>
      <c r="E8" s="230"/>
      <c r="F8" s="231"/>
      <c r="H8" s="228" t="s">
        <v>152</v>
      </c>
      <c r="I8" s="479"/>
      <c r="J8" s="229">
        <v>24800</v>
      </c>
      <c r="K8" s="239"/>
      <c r="L8" s="230"/>
      <c r="M8" s="231"/>
    </row>
    <row r="9" spans="1:13" ht="17.25" customHeight="1">
      <c r="A9" s="228" t="s">
        <v>153</v>
      </c>
      <c r="B9" s="479"/>
      <c r="C9" s="229">
        <v>23800</v>
      </c>
      <c r="D9" s="239"/>
      <c r="E9" s="230"/>
      <c r="F9" s="233"/>
      <c r="H9" s="228" t="s">
        <v>153</v>
      </c>
      <c r="I9" s="479"/>
      <c r="J9" s="229">
        <v>24800</v>
      </c>
      <c r="K9" s="239"/>
      <c r="L9" s="230"/>
      <c r="M9" s="233"/>
    </row>
    <row r="10" spans="1:13" ht="17.25" customHeight="1">
      <c r="A10" s="228" t="s">
        <v>154</v>
      </c>
      <c r="B10" s="479"/>
      <c r="C10" s="229">
        <v>23800</v>
      </c>
      <c r="D10" s="239"/>
      <c r="E10" s="230"/>
      <c r="F10" s="234"/>
      <c r="H10" s="228" t="s">
        <v>154</v>
      </c>
      <c r="I10" s="479"/>
      <c r="J10" s="229">
        <v>24800</v>
      </c>
      <c r="K10" s="239"/>
      <c r="L10" s="230"/>
      <c r="M10" s="234"/>
    </row>
    <row r="11" spans="1:13" ht="17.25" customHeight="1">
      <c r="A11" s="228" t="s">
        <v>155</v>
      </c>
      <c r="B11" s="479"/>
      <c r="C11" s="229">
        <v>23800</v>
      </c>
      <c r="D11" s="239"/>
      <c r="E11" s="230"/>
      <c r="F11" s="234"/>
      <c r="H11" s="228" t="s">
        <v>155</v>
      </c>
      <c r="I11" s="479"/>
      <c r="J11" s="229">
        <v>24800</v>
      </c>
      <c r="K11" s="239"/>
      <c r="L11" s="230"/>
      <c r="M11" s="234"/>
    </row>
    <row r="12" spans="1:13" ht="17.25" customHeight="1">
      <c r="A12" s="228" t="s">
        <v>156</v>
      </c>
      <c r="B12" s="479"/>
      <c r="C12" s="229">
        <v>23800</v>
      </c>
      <c r="D12" s="239"/>
      <c r="E12" s="230"/>
      <c r="F12" s="234"/>
      <c r="H12" s="228" t="s">
        <v>156</v>
      </c>
      <c r="I12" s="479"/>
      <c r="J12" s="229">
        <v>24800</v>
      </c>
      <c r="K12" s="239"/>
      <c r="L12" s="230"/>
      <c r="M12" s="234"/>
    </row>
    <row r="13" spans="1:13" ht="17.25" customHeight="1">
      <c r="A13" s="228" t="s">
        <v>157</v>
      </c>
      <c r="B13" s="479"/>
      <c r="C13" s="229">
        <v>23800</v>
      </c>
      <c r="D13" s="239"/>
      <c r="E13" s="235"/>
      <c r="F13" s="232"/>
      <c r="H13" s="228" t="s">
        <v>157</v>
      </c>
      <c r="I13" s="479"/>
      <c r="J13" s="229">
        <v>24800</v>
      </c>
      <c r="K13" s="239"/>
      <c r="L13" s="235"/>
      <c r="M13" s="232"/>
    </row>
    <row r="14" spans="1:13" ht="17.25" customHeight="1" thickBot="1">
      <c r="A14" s="228" t="s">
        <v>158</v>
      </c>
      <c r="B14" s="479"/>
      <c r="C14" s="268">
        <v>23800</v>
      </c>
      <c r="D14" s="240"/>
      <c r="E14" s="236"/>
      <c r="F14" s="237"/>
      <c r="H14" s="228" t="s">
        <v>158</v>
      </c>
      <c r="I14" s="479"/>
      <c r="J14" s="268">
        <v>24800</v>
      </c>
      <c r="K14" s="240"/>
      <c r="L14" s="236"/>
      <c r="M14" s="237"/>
    </row>
    <row r="15" spans="1:13">
      <c r="A15" s="474" t="s">
        <v>15</v>
      </c>
      <c r="B15" s="474"/>
      <c r="C15" s="474"/>
      <c r="D15" s="248">
        <f>SUM(D3:D14)</f>
        <v>8123350544</v>
      </c>
      <c r="E15" s="238"/>
      <c r="F15" s="238"/>
      <c r="H15" s="474" t="s">
        <v>15</v>
      </c>
      <c r="I15" s="474"/>
      <c r="J15" s="474"/>
      <c r="K15" s="248">
        <f>SUM(K3:K14)</f>
        <v>9232195476.1900005</v>
      </c>
      <c r="L15" s="238"/>
      <c r="M15" s="238"/>
    </row>
    <row r="17" spans="1:13" ht="15.75">
      <c r="A17" s="480" t="s">
        <v>222</v>
      </c>
      <c r="B17" s="480"/>
      <c r="C17" s="480"/>
      <c r="D17" s="480"/>
      <c r="E17" s="480"/>
      <c r="F17" s="480"/>
      <c r="H17" s="485" t="s">
        <v>223</v>
      </c>
      <c r="I17" s="485"/>
      <c r="J17" s="485"/>
      <c r="K17" s="485"/>
      <c r="L17" s="485"/>
      <c r="M17" s="485"/>
    </row>
    <row r="18" spans="1:13" ht="40.5" customHeight="1">
      <c r="A18" s="331" t="s">
        <v>160</v>
      </c>
      <c r="B18" s="331" t="s">
        <v>216</v>
      </c>
      <c r="C18" s="332" t="s">
        <v>224</v>
      </c>
      <c r="D18" s="332" t="s">
        <v>225</v>
      </c>
      <c r="E18" s="333" t="s">
        <v>219</v>
      </c>
      <c r="F18" s="333" t="s">
        <v>220</v>
      </c>
      <c r="H18" s="335" t="s">
        <v>160</v>
      </c>
      <c r="I18" s="335" t="s">
        <v>216</v>
      </c>
      <c r="J18" s="336" t="s">
        <v>224</v>
      </c>
      <c r="K18" s="336" t="s">
        <v>226</v>
      </c>
      <c r="L18" s="337" t="s">
        <v>219</v>
      </c>
      <c r="M18" s="337" t="s">
        <v>220</v>
      </c>
    </row>
    <row r="19" spans="1:13" ht="15" customHeight="1">
      <c r="A19" s="241" t="s">
        <v>147</v>
      </c>
      <c r="B19" s="481" t="s">
        <v>227</v>
      </c>
      <c r="C19" s="229">
        <v>52</v>
      </c>
      <c r="D19" s="239">
        <v>7574995374</v>
      </c>
      <c r="E19" s="273"/>
      <c r="F19" s="272"/>
      <c r="H19" s="241" t="s">
        <v>147</v>
      </c>
      <c r="I19" s="481" t="s">
        <v>227</v>
      </c>
      <c r="J19" s="229">
        <v>54</v>
      </c>
      <c r="K19" s="239">
        <v>7645057732</v>
      </c>
      <c r="L19" s="273"/>
      <c r="M19" s="272"/>
    </row>
    <row r="20" spans="1:13">
      <c r="A20" s="241" t="s">
        <v>148</v>
      </c>
      <c r="B20" s="481"/>
      <c r="C20" s="229">
        <v>52</v>
      </c>
      <c r="D20" s="239">
        <v>4332103785</v>
      </c>
      <c r="E20" s="338">
        <f>D20-D19</f>
        <v>-3242891589</v>
      </c>
      <c r="F20" s="272">
        <f>(D20/D19*100%)-100%</f>
        <v>-0.42810476163863065</v>
      </c>
      <c r="H20" s="241" t="s">
        <v>148</v>
      </c>
      <c r="I20" s="481"/>
      <c r="J20" s="229">
        <v>54</v>
      </c>
      <c r="K20" s="239">
        <v>4361125338</v>
      </c>
      <c r="L20" s="338">
        <f>K20-K19</f>
        <v>-3283932394</v>
      </c>
      <c r="M20" s="272">
        <f>(K20/K19*100%)-100%</f>
        <v>-0.42954971814724285</v>
      </c>
    </row>
    <row r="21" spans="1:13">
      <c r="A21" s="241" t="s">
        <v>149</v>
      </c>
      <c r="B21" s="481"/>
      <c r="C21" s="229">
        <v>52</v>
      </c>
      <c r="D21" s="239">
        <v>4449581100</v>
      </c>
      <c r="E21" s="276">
        <f>D21-D20</f>
        <v>117477315</v>
      </c>
      <c r="F21" s="272">
        <f>(D21/D20*100%)-100%</f>
        <v>2.7117844084614928E-2</v>
      </c>
      <c r="H21" s="241" t="s">
        <v>149</v>
      </c>
      <c r="I21" s="481"/>
      <c r="J21" s="229">
        <v>54</v>
      </c>
      <c r="K21" s="239">
        <v>4615971533</v>
      </c>
      <c r="L21" s="276">
        <f>K21-K20</f>
        <v>254846195</v>
      </c>
      <c r="M21" s="272">
        <f>(K21/K20*100%)-100%</f>
        <v>5.8435879560588821E-2</v>
      </c>
    </row>
    <row r="22" spans="1:13">
      <c r="A22" s="241" t="s">
        <v>150</v>
      </c>
      <c r="B22" s="481"/>
      <c r="C22" s="229">
        <v>52</v>
      </c>
      <c r="D22" s="239">
        <v>4472434547</v>
      </c>
      <c r="E22" s="276">
        <f>D22-D21</f>
        <v>22853447</v>
      </c>
      <c r="F22" s="272">
        <f>(D22/D21*100%)-100%</f>
        <v>5.1360895523400174E-3</v>
      </c>
      <c r="H22" s="241" t="s">
        <v>150</v>
      </c>
      <c r="I22" s="481"/>
      <c r="J22" s="229">
        <v>54</v>
      </c>
      <c r="K22" s="239">
        <v>4299085775</v>
      </c>
      <c r="L22" s="338">
        <f>K22-K21</f>
        <v>-316885758</v>
      </c>
      <c r="M22" s="272">
        <f>(K22/K21*100%)-100%</f>
        <v>-6.8649851008515728E-2</v>
      </c>
    </row>
    <row r="23" spans="1:13">
      <c r="A23" s="241" t="s">
        <v>151</v>
      </c>
      <c r="B23" s="481"/>
      <c r="C23" s="229">
        <v>52</v>
      </c>
      <c r="D23" s="239"/>
      <c r="E23" s="230"/>
      <c r="F23" s="242"/>
      <c r="H23" s="241" t="s">
        <v>151</v>
      </c>
      <c r="I23" s="481"/>
      <c r="J23" s="229">
        <v>54</v>
      </c>
      <c r="K23" s="239"/>
      <c r="L23" s="230"/>
      <c r="M23" s="242"/>
    </row>
    <row r="24" spans="1:13">
      <c r="A24" s="241" t="s">
        <v>152</v>
      </c>
      <c r="B24" s="481"/>
      <c r="C24" s="229">
        <v>52</v>
      </c>
      <c r="D24" s="239"/>
      <c r="E24" s="230"/>
      <c r="F24" s="242"/>
      <c r="H24" s="241" t="s">
        <v>152</v>
      </c>
      <c r="I24" s="481"/>
      <c r="J24" s="229">
        <v>54</v>
      </c>
      <c r="K24" s="239"/>
      <c r="L24" s="230"/>
      <c r="M24" s="242"/>
    </row>
    <row r="25" spans="1:13">
      <c r="A25" s="241" t="s">
        <v>153</v>
      </c>
      <c r="B25" s="481"/>
      <c r="C25" s="229">
        <v>52</v>
      </c>
      <c r="D25" s="239"/>
      <c r="E25" s="230"/>
      <c r="F25" s="243"/>
      <c r="H25" s="241" t="s">
        <v>153</v>
      </c>
      <c r="I25" s="481"/>
      <c r="J25" s="229">
        <v>54</v>
      </c>
      <c r="K25" s="239"/>
      <c r="L25" s="230"/>
      <c r="M25" s="243"/>
    </row>
    <row r="26" spans="1:13">
      <c r="A26" s="241" t="s">
        <v>154</v>
      </c>
      <c r="B26" s="481"/>
      <c r="C26" s="229">
        <v>52</v>
      </c>
      <c r="D26" s="239"/>
      <c r="E26" s="230"/>
      <c r="F26" s="244"/>
      <c r="H26" s="241" t="s">
        <v>154</v>
      </c>
      <c r="I26" s="481"/>
      <c r="J26" s="229">
        <v>54</v>
      </c>
      <c r="K26" s="239"/>
      <c r="L26" s="230"/>
      <c r="M26" s="244"/>
    </row>
    <row r="27" spans="1:13">
      <c r="A27" s="241" t="s">
        <v>155</v>
      </c>
      <c r="B27" s="481"/>
      <c r="C27" s="229">
        <v>52</v>
      </c>
      <c r="D27" s="239"/>
      <c r="E27" s="230"/>
      <c r="F27" s="244"/>
      <c r="H27" s="241" t="s">
        <v>155</v>
      </c>
      <c r="I27" s="481"/>
      <c r="J27" s="229">
        <v>54</v>
      </c>
      <c r="K27" s="239"/>
      <c r="L27" s="230"/>
      <c r="M27" s="244"/>
    </row>
    <row r="28" spans="1:13">
      <c r="A28" s="241" t="s">
        <v>156</v>
      </c>
      <c r="B28" s="481"/>
      <c r="C28" s="229">
        <v>52</v>
      </c>
      <c r="D28" s="239"/>
      <c r="E28" s="230"/>
      <c r="F28" s="244"/>
      <c r="H28" s="241" t="s">
        <v>156</v>
      </c>
      <c r="I28" s="481"/>
      <c r="J28" s="229">
        <v>54</v>
      </c>
      <c r="K28" s="239"/>
      <c r="L28" s="230"/>
      <c r="M28" s="244"/>
    </row>
    <row r="29" spans="1:13">
      <c r="A29" s="241" t="s">
        <v>157</v>
      </c>
      <c r="B29" s="481"/>
      <c r="C29" s="229">
        <v>52</v>
      </c>
      <c r="D29" s="239"/>
      <c r="E29" s="245"/>
      <c r="F29" s="243"/>
      <c r="H29" s="241" t="s">
        <v>157</v>
      </c>
      <c r="I29" s="481"/>
      <c r="J29" s="229">
        <v>54</v>
      </c>
      <c r="K29" s="239"/>
      <c r="L29" s="245"/>
      <c r="M29" s="243"/>
    </row>
    <row r="30" spans="1:13">
      <c r="A30" s="241" t="s">
        <v>158</v>
      </c>
      <c r="B30" s="481"/>
      <c r="C30" s="229">
        <v>52</v>
      </c>
      <c r="D30" s="239"/>
      <c r="E30" s="235"/>
      <c r="F30" s="246"/>
      <c r="H30" s="241" t="s">
        <v>158</v>
      </c>
      <c r="I30" s="481"/>
      <c r="J30" s="229">
        <v>54</v>
      </c>
      <c r="K30" s="239"/>
      <c r="L30" s="235"/>
      <c r="M30" s="246"/>
    </row>
    <row r="31" spans="1:13">
      <c r="A31" s="474" t="s">
        <v>15</v>
      </c>
      <c r="B31" s="474"/>
      <c r="C31" s="474"/>
      <c r="D31" s="247">
        <f>SUM(D19:D30)</f>
        <v>20829114806</v>
      </c>
      <c r="E31" s="238"/>
      <c r="F31" s="238"/>
      <c r="H31" s="474" t="s">
        <v>15</v>
      </c>
      <c r="I31" s="474"/>
      <c r="J31" s="474"/>
      <c r="K31" s="247">
        <f>SUM(K19:K30)</f>
        <v>20921240378</v>
      </c>
      <c r="L31" s="238"/>
      <c r="M31" s="238"/>
    </row>
  </sheetData>
  <mergeCells count="12">
    <mergeCell ref="A31:C31"/>
    <mergeCell ref="H31:J31"/>
    <mergeCell ref="A1:F1"/>
    <mergeCell ref="B3:B14"/>
    <mergeCell ref="A17:F17"/>
    <mergeCell ref="B19:B30"/>
    <mergeCell ref="H1:M1"/>
    <mergeCell ref="I3:I14"/>
    <mergeCell ref="H17:M17"/>
    <mergeCell ref="I19:I30"/>
    <mergeCell ref="A15:C15"/>
    <mergeCell ref="H15:J15"/>
  </mergeCells>
  <phoneticPr fontId="46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62"/>
  <sheetViews>
    <sheetView topLeftCell="A13" zoomScale="110" zoomScaleNormal="110" workbookViewId="0">
      <selection activeCell="I18" sqref="I18"/>
    </sheetView>
  </sheetViews>
  <sheetFormatPr baseColWidth="10" defaultColWidth="11.42578125" defaultRowHeight="15"/>
  <cols>
    <col min="1" max="1" width="4.28515625" customWidth="1"/>
    <col min="2" max="2" width="32" customWidth="1"/>
    <col min="3" max="3" width="18" customWidth="1"/>
    <col min="4" max="4" width="2.7109375" customWidth="1"/>
    <col min="5" max="5" width="31.5703125" customWidth="1"/>
    <col min="6" max="6" width="20.7109375" customWidth="1"/>
    <col min="7" max="7" width="3.5703125" customWidth="1"/>
    <col min="8" max="8" width="20.5703125" customWidth="1"/>
  </cols>
  <sheetData>
    <row r="1" spans="2:8" ht="15.75" thickBot="1"/>
    <row r="2" spans="2:8" ht="25.5">
      <c r="B2" s="253">
        <v>45658</v>
      </c>
      <c r="C2" s="254" t="s">
        <v>228</v>
      </c>
      <c r="E2" s="342">
        <v>46023</v>
      </c>
      <c r="F2" s="343" t="s">
        <v>228</v>
      </c>
      <c r="H2" s="270" t="s">
        <v>229</v>
      </c>
    </row>
    <row r="3" spans="2:8">
      <c r="B3" s="339" t="s">
        <v>230</v>
      </c>
      <c r="C3" s="340">
        <v>2421001960</v>
      </c>
      <c r="E3" s="339" t="s">
        <v>230</v>
      </c>
      <c r="F3" s="340">
        <v>2627831200</v>
      </c>
      <c r="H3" s="271">
        <f>F3-C3</f>
        <v>206829240</v>
      </c>
    </row>
    <row r="4" spans="2:8">
      <c r="B4" s="339" t="s">
        <v>231</v>
      </c>
      <c r="C4" s="340">
        <v>7574995374</v>
      </c>
      <c r="E4" s="339" t="s">
        <v>231</v>
      </c>
      <c r="F4" s="340">
        <v>7645057732</v>
      </c>
      <c r="H4" s="271">
        <f t="shared" ref="H4:H5" si="0">F4-C4</f>
        <v>70062358</v>
      </c>
    </row>
    <row r="5" spans="2:8">
      <c r="B5" s="345" t="s">
        <v>15</v>
      </c>
      <c r="C5" s="341">
        <f>C3+C4</f>
        <v>9995997334</v>
      </c>
      <c r="E5" s="345" t="s">
        <v>15</v>
      </c>
      <c r="F5" s="341">
        <f>F3+F4</f>
        <v>10272888932</v>
      </c>
      <c r="H5" s="344">
        <f t="shared" si="0"/>
        <v>276891598</v>
      </c>
    </row>
    <row r="6" spans="2:8" ht="15.75" thickBot="1">
      <c r="B6" s="255"/>
      <c r="C6" s="255"/>
      <c r="E6" s="255"/>
      <c r="F6" s="255"/>
      <c r="H6" s="255"/>
    </row>
    <row r="7" spans="2:8" ht="25.5">
      <c r="B7" s="253">
        <v>45689</v>
      </c>
      <c r="C7" s="254" t="s">
        <v>228</v>
      </c>
      <c r="E7" s="342">
        <v>46054</v>
      </c>
      <c r="F7" s="343" t="s">
        <v>228</v>
      </c>
      <c r="H7" s="270" t="s">
        <v>232</v>
      </c>
    </row>
    <row r="8" spans="2:8">
      <c r="B8" s="249" t="s">
        <v>230</v>
      </c>
      <c r="C8" s="256">
        <v>1829861400</v>
      </c>
      <c r="E8" s="249" t="s">
        <v>230</v>
      </c>
      <c r="F8" s="256">
        <v>2126377076.1900001</v>
      </c>
      <c r="H8" s="271">
        <f>F8-C8</f>
        <v>296515676.19000006</v>
      </c>
    </row>
    <row r="9" spans="2:8">
      <c r="B9" s="249" t="s">
        <v>231</v>
      </c>
      <c r="C9" s="256">
        <v>4332103785</v>
      </c>
      <c r="E9" s="249" t="s">
        <v>231</v>
      </c>
      <c r="F9" s="256">
        <v>4361125338.8999996</v>
      </c>
      <c r="H9" s="271">
        <f t="shared" ref="H9:H10" si="1">F9-C9</f>
        <v>29021553.899999619</v>
      </c>
    </row>
    <row r="10" spans="2:8" ht="15.75" thickBot="1">
      <c r="B10" s="346" t="s">
        <v>15</v>
      </c>
      <c r="C10" s="251">
        <f>C8+C9</f>
        <v>6161965185</v>
      </c>
      <c r="E10" s="346" t="s">
        <v>15</v>
      </c>
      <c r="F10" s="251">
        <f>F8+F9</f>
        <v>6487502415.0900002</v>
      </c>
      <c r="H10" s="344">
        <f t="shared" si="1"/>
        <v>325537230.09000015</v>
      </c>
    </row>
    <row r="11" spans="2:8" ht="15.75" thickBot="1">
      <c r="B11" s="255"/>
      <c r="C11" s="255"/>
      <c r="E11" s="255"/>
      <c r="F11" s="255"/>
      <c r="H11" s="255"/>
    </row>
    <row r="12" spans="2:8" ht="25.5">
      <c r="B12" s="253">
        <v>45717</v>
      </c>
      <c r="C12" s="254" t="s">
        <v>228</v>
      </c>
      <c r="E12" s="342">
        <v>46082</v>
      </c>
      <c r="F12" s="343" t="s">
        <v>228</v>
      </c>
      <c r="H12" s="270" t="s">
        <v>232</v>
      </c>
    </row>
    <row r="13" spans="2:8">
      <c r="B13" s="249" t="s">
        <v>230</v>
      </c>
      <c r="C13" s="256">
        <v>2051386104</v>
      </c>
      <c r="E13" s="249" t="s">
        <v>230</v>
      </c>
      <c r="F13" s="277">
        <v>2367110400</v>
      </c>
      <c r="H13" s="271">
        <f>F13-C13</f>
        <v>315724296</v>
      </c>
    </row>
    <row r="14" spans="2:8">
      <c r="B14" s="249" t="s">
        <v>231</v>
      </c>
      <c r="C14" s="256">
        <v>4449581100</v>
      </c>
      <c r="E14" s="249" t="s">
        <v>231</v>
      </c>
      <c r="F14" s="277">
        <v>4615971533</v>
      </c>
      <c r="H14" s="271">
        <f t="shared" ref="H14:H15" si="2">F14-C14</f>
        <v>166390433</v>
      </c>
    </row>
    <row r="15" spans="2:8" ht="15.75" thickBot="1">
      <c r="B15" s="346" t="s">
        <v>15</v>
      </c>
      <c r="C15" s="251">
        <f>C13+C14</f>
        <v>6500967204</v>
      </c>
      <c r="E15" s="346" t="s">
        <v>15</v>
      </c>
      <c r="F15" s="251">
        <f>F13+F14</f>
        <v>6983081933</v>
      </c>
      <c r="H15" s="344">
        <f t="shared" si="2"/>
        <v>482114729</v>
      </c>
    </row>
    <row r="16" spans="2:8" ht="15.75" thickBot="1">
      <c r="B16" s="255"/>
      <c r="C16" s="257"/>
      <c r="E16" s="255"/>
      <c r="F16" s="257"/>
      <c r="H16" s="255"/>
    </row>
    <row r="17" spans="2:8" ht="25.5">
      <c r="B17" s="253">
        <v>45748</v>
      </c>
      <c r="C17" s="254" t="s">
        <v>228</v>
      </c>
      <c r="E17" s="342">
        <v>46113</v>
      </c>
      <c r="F17" s="343" t="s">
        <v>228</v>
      </c>
      <c r="H17" s="270" t="s">
        <v>232</v>
      </c>
    </row>
    <row r="18" spans="2:8">
      <c r="B18" s="339" t="s">
        <v>230</v>
      </c>
      <c r="C18" s="256">
        <v>1821101080</v>
      </c>
      <c r="E18" s="249" t="s">
        <v>230</v>
      </c>
      <c r="F18" s="256">
        <v>2110876800</v>
      </c>
      <c r="H18" s="271">
        <f>F18-C18</f>
        <v>289775720</v>
      </c>
    </row>
    <row r="19" spans="2:8">
      <c r="B19" s="339" t="s">
        <v>231</v>
      </c>
      <c r="C19" s="256">
        <v>4472434647</v>
      </c>
      <c r="E19" s="249" t="s">
        <v>231</v>
      </c>
      <c r="F19" s="256">
        <v>4299085775</v>
      </c>
      <c r="H19" s="271">
        <f t="shared" ref="H19" si="3">F19-C19</f>
        <v>-173348872</v>
      </c>
    </row>
    <row r="20" spans="2:8" ht="15.75" thickBot="1">
      <c r="B20" s="346" t="s">
        <v>15</v>
      </c>
      <c r="C20" s="251">
        <f>C18+C19</f>
        <v>6293535727</v>
      </c>
      <c r="E20" s="346" t="s">
        <v>15</v>
      </c>
      <c r="F20" s="251">
        <f>F18+F19</f>
        <v>6409962575</v>
      </c>
      <c r="H20" s="344">
        <f>F20-C20</f>
        <v>116426848</v>
      </c>
    </row>
    <row r="21" spans="2:8" ht="15.75" thickBot="1">
      <c r="B21" s="255"/>
      <c r="C21" s="255"/>
      <c r="E21" s="255"/>
      <c r="F21" s="255"/>
      <c r="H21" s="255"/>
    </row>
    <row r="22" spans="2:8" ht="25.5">
      <c r="B22" s="253">
        <v>46143</v>
      </c>
      <c r="C22" s="254" t="s">
        <v>228</v>
      </c>
      <c r="E22" s="342">
        <v>46143</v>
      </c>
      <c r="F22" s="343" t="s">
        <v>228</v>
      </c>
      <c r="H22" s="270" t="s">
        <v>232</v>
      </c>
    </row>
    <row r="23" spans="2:8">
      <c r="B23" s="249" t="s">
        <v>230</v>
      </c>
      <c r="C23" s="250"/>
      <c r="E23" s="249" t="s">
        <v>230</v>
      </c>
      <c r="F23" s="250"/>
      <c r="H23" s="271">
        <f>F23-C23</f>
        <v>0</v>
      </c>
    </row>
    <row r="24" spans="2:8">
      <c r="B24" s="249" t="s">
        <v>231</v>
      </c>
      <c r="C24" s="250"/>
      <c r="E24" s="249" t="s">
        <v>231</v>
      </c>
      <c r="F24" s="250"/>
      <c r="H24" s="271">
        <f t="shared" ref="H24:H25" si="4">F24-C24</f>
        <v>0</v>
      </c>
    </row>
    <row r="25" spans="2:8" ht="15.75" thickBot="1">
      <c r="B25" s="346" t="s">
        <v>15</v>
      </c>
      <c r="C25" s="252"/>
      <c r="E25" s="346" t="s">
        <v>15</v>
      </c>
      <c r="F25" s="252"/>
      <c r="H25" s="271">
        <f t="shared" si="4"/>
        <v>0</v>
      </c>
    </row>
    <row r="26" spans="2:8" ht="15.75" thickBot="1">
      <c r="B26" s="255"/>
      <c r="C26" s="255"/>
      <c r="E26" s="255"/>
      <c r="F26" s="255"/>
      <c r="H26" s="255"/>
    </row>
    <row r="27" spans="2:8" ht="25.5">
      <c r="B27" s="253">
        <v>45809</v>
      </c>
      <c r="C27" s="254" t="s">
        <v>228</v>
      </c>
      <c r="E27" s="342">
        <v>46174</v>
      </c>
      <c r="F27" s="343" t="s">
        <v>228</v>
      </c>
      <c r="H27" s="270" t="s">
        <v>232</v>
      </c>
    </row>
    <row r="28" spans="2:8">
      <c r="B28" s="249" t="s">
        <v>230</v>
      </c>
      <c r="C28" s="250"/>
      <c r="E28" s="249" t="s">
        <v>230</v>
      </c>
      <c r="F28" s="250"/>
      <c r="H28" s="271">
        <f>F28-C28</f>
        <v>0</v>
      </c>
    </row>
    <row r="29" spans="2:8">
      <c r="B29" s="249" t="s">
        <v>231</v>
      </c>
      <c r="C29" s="250"/>
      <c r="E29" s="249" t="s">
        <v>231</v>
      </c>
      <c r="F29" s="250"/>
      <c r="H29" s="271">
        <f t="shared" ref="H29:H30" si="5">F29-C29</f>
        <v>0</v>
      </c>
    </row>
    <row r="30" spans="2:8" ht="15.75" thickBot="1">
      <c r="B30" s="346" t="s">
        <v>15</v>
      </c>
      <c r="C30" s="252"/>
      <c r="E30" s="346" t="s">
        <v>15</v>
      </c>
      <c r="F30" s="252"/>
      <c r="H30" s="271">
        <f t="shared" si="5"/>
        <v>0</v>
      </c>
    </row>
    <row r="31" spans="2:8" ht="15.75" thickBot="1">
      <c r="B31" s="255"/>
      <c r="C31" s="255"/>
      <c r="E31" s="255"/>
      <c r="F31" s="255"/>
      <c r="H31" s="255"/>
    </row>
    <row r="32" spans="2:8" ht="25.5">
      <c r="B32" s="253">
        <v>45839</v>
      </c>
      <c r="C32" s="254" t="s">
        <v>228</v>
      </c>
      <c r="E32" s="342">
        <v>46204</v>
      </c>
      <c r="F32" s="343" t="s">
        <v>228</v>
      </c>
      <c r="H32" s="270" t="s">
        <v>232</v>
      </c>
    </row>
    <row r="33" spans="2:8">
      <c r="B33" s="249" t="s">
        <v>230</v>
      </c>
      <c r="C33" s="250"/>
      <c r="E33" s="249" t="s">
        <v>230</v>
      </c>
      <c r="F33" s="250"/>
      <c r="H33" s="271">
        <f>F33-C33</f>
        <v>0</v>
      </c>
    </row>
    <row r="34" spans="2:8">
      <c r="B34" s="249" t="s">
        <v>231</v>
      </c>
      <c r="C34" s="250"/>
      <c r="E34" s="249" t="s">
        <v>231</v>
      </c>
      <c r="F34" s="250"/>
      <c r="H34" s="271">
        <f t="shared" ref="H34:H35" si="6">F34-C34</f>
        <v>0</v>
      </c>
    </row>
    <row r="35" spans="2:8" ht="15.75" thickBot="1">
      <c r="B35" s="346" t="s">
        <v>15</v>
      </c>
      <c r="C35" s="252"/>
      <c r="E35" s="346" t="s">
        <v>15</v>
      </c>
      <c r="F35" s="252"/>
      <c r="H35" s="271">
        <f t="shared" si="6"/>
        <v>0</v>
      </c>
    </row>
    <row r="36" spans="2:8" ht="15.75" thickBot="1">
      <c r="B36" s="255"/>
      <c r="C36" s="250"/>
      <c r="E36" s="255"/>
      <c r="F36" s="250"/>
      <c r="H36" s="258"/>
    </row>
    <row r="37" spans="2:8" ht="25.5">
      <c r="B37" s="253">
        <v>45870</v>
      </c>
      <c r="C37" s="254" t="s">
        <v>228</v>
      </c>
      <c r="E37" s="342">
        <v>46235</v>
      </c>
      <c r="F37" s="343" t="s">
        <v>228</v>
      </c>
      <c r="H37" s="270" t="s">
        <v>232</v>
      </c>
    </row>
    <row r="38" spans="2:8">
      <c r="B38" s="249" t="s">
        <v>230</v>
      </c>
      <c r="C38" s="250"/>
      <c r="E38" s="249" t="s">
        <v>230</v>
      </c>
      <c r="F38" s="250"/>
      <c r="H38" s="271">
        <f>F38-C38</f>
        <v>0</v>
      </c>
    </row>
    <row r="39" spans="2:8">
      <c r="B39" s="249" t="s">
        <v>231</v>
      </c>
      <c r="C39" s="250"/>
      <c r="E39" s="249" t="s">
        <v>231</v>
      </c>
      <c r="F39" s="250"/>
      <c r="H39" s="271">
        <f t="shared" ref="H39:H40" si="7">F39-C39</f>
        <v>0</v>
      </c>
    </row>
    <row r="40" spans="2:8" ht="15.75" thickBot="1">
      <c r="B40" s="346" t="s">
        <v>15</v>
      </c>
      <c r="C40" s="252"/>
      <c r="E40" s="346" t="s">
        <v>15</v>
      </c>
      <c r="F40" s="252"/>
      <c r="H40" s="271">
        <f t="shared" si="7"/>
        <v>0</v>
      </c>
    </row>
    <row r="41" spans="2:8" ht="15.75" thickBot="1">
      <c r="B41" s="255"/>
      <c r="C41" s="255"/>
      <c r="E41" s="255"/>
      <c r="F41" s="255"/>
      <c r="H41" s="255"/>
    </row>
    <row r="42" spans="2:8" ht="25.5">
      <c r="B42" s="253">
        <v>45901</v>
      </c>
      <c r="C42" s="254" t="s">
        <v>228</v>
      </c>
      <c r="E42" s="342">
        <v>45901</v>
      </c>
      <c r="F42" s="343" t="s">
        <v>228</v>
      </c>
      <c r="H42" s="270" t="s">
        <v>232</v>
      </c>
    </row>
    <row r="43" spans="2:8">
      <c r="B43" s="249" t="s">
        <v>230</v>
      </c>
      <c r="C43" s="259"/>
      <c r="E43" s="249" t="s">
        <v>230</v>
      </c>
      <c r="F43" s="259"/>
      <c r="H43" s="271">
        <f>F43-C43</f>
        <v>0</v>
      </c>
    </row>
    <row r="44" spans="2:8">
      <c r="B44" s="249" t="s">
        <v>231</v>
      </c>
      <c r="C44" s="260"/>
      <c r="E44" s="249" t="s">
        <v>231</v>
      </c>
      <c r="F44" s="260"/>
      <c r="H44" s="271">
        <f t="shared" ref="H44:H45" si="8">F44-C44</f>
        <v>0</v>
      </c>
    </row>
    <row r="45" spans="2:8" ht="15.75" thickBot="1">
      <c r="B45" s="346" t="s">
        <v>15</v>
      </c>
      <c r="C45" s="252"/>
      <c r="E45" s="346" t="s">
        <v>15</v>
      </c>
      <c r="F45" s="252"/>
      <c r="H45" s="271">
        <f t="shared" si="8"/>
        <v>0</v>
      </c>
    </row>
    <row r="46" spans="2:8" ht="15.75" thickBot="1">
      <c r="B46" s="255"/>
      <c r="C46" s="255"/>
      <c r="E46" s="255"/>
      <c r="F46" s="255"/>
      <c r="H46" s="255"/>
    </row>
    <row r="47" spans="2:8" ht="25.5">
      <c r="B47" s="253">
        <v>45931</v>
      </c>
      <c r="C47" s="254" t="s">
        <v>228</v>
      </c>
      <c r="E47" s="342">
        <v>46296</v>
      </c>
      <c r="F47" s="343" t="s">
        <v>228</v>
      </c>
      <c r="H47" s="270" t="s">
        <v>232</v>
      </c>
    </row>
    <row r="48" spans="2:8">
      <c r="B48" s="249" t="s">
        <v>230</v>
      </c>
      <c r="C48" s="259"/>
      <c r="E48" s="249" t="s">
        <v>230</v>
      </c>
      <c r="F48" s="259"/>
      <c r="H48" s="271">
        <f>F48-C48</f>
        <v>0</v>
      </c>
    </row>
    <row r="49" spans="2:8">
      <c r="B49" s="249" t="s">
        <v>231</v>
      </c>
      <c r="C49" s="260"/>
      <c r="E49" s="249" t="s">
        <v>231</v>
      </c>
      <c r="F49" s="260"/>
      <c r="H49" s="271">
        <f t="shared" ref="H49:H50" si="9">F49-C49</f>
        <v>0</v>
      </c>
    </row>
    <row r="50" spans="2:8" ht="15.75" thickBot="1">
      <c r="B50" s="346" t="s">
        <v>15</v>
      </c>
      <c r="C50" s="252"/>
      <c r="E50" s="346" t="s">
        <v>15</v>
      </c>
      <c r="F50" s="252"/>
      <c r="H50" s="271">
        <f t="shared" si="9"/>
        <v>0</v>
      </c>
    </row>
    <row r="51" spans="2:8" ht="15.75" thickBot="1">
      <c r="B51" s="255"/>
      <c r="C51" s="255"/>
      <c r="E51" s="255"/>
      <c r="F51" s="255"/>
      <c r="H51" s="255"/>
    </row>
    <row r="52" spans="2:8" ht="25.5">
      <c r="B52" s="253">
        <v>45962</v>
      </c>
      <c r="C52" s="254" t="s">
        <v>228</v>
      </c>
      <c r="E52" s="342">
        <v>46327</v>
      </c>
      <c r="F52" s="343" t="s">
        <v>228</v>
      </c>
      <c r="H52" s="270" t="s">
        <v>232</v>
      </c>
    </row>
    <row r="53" spans="2:8">
      <c r="B53" s="249" t="s">
        <v>230</v>
      </c>
      <c r="C53" s="259"/>
      <c r="E53" s="249" t="s">
        <v>230</v>
      </c>
      <c r="F53" s="259"/>
      <c r="H53" s="271">
        <f>F53-C53</f>
        <v>0</v>
      </c>
    </row>
    <row r="54" spans="2:8">
      <c r="B54" s="249" t="s">
        <v>231</v>
      </c>
      <c r="C54" s="260"/>
      <c r="E54" s="249" t="s">
        <v>231</v>
      </c>
      <c r="F54" s="260"/>
      <c r="H54" s="271">
        <f t="shared" ref="H54:H55" si="10">F54-C54</f>
        <v>0</v>
      </c>
    </row>
    <row r="55" spans="2:8" ht="15.75" thickBot="1">
      <c r="B55" s="346" t="s">
        <v>15</v>
      </c>
      <c r="C55" s="252"/>
      <c r="E55" s="346" t="s">
        <v>15</v>
      </c>
      <c r="F55" s="252"/>
      <c r="H55" s="271">
        <f t="shared" si="10"/>
        <v>0</v>
      </c>
    </row>
    <row r="56" spans="2:8" ht="15.75" thickBot="1">
      <c r="B56" s="261"/>
      <c r="C56" s="262"/>
      <c r="E56" s="261"/>
      <c r="F56" s="262"/>
      <c r="H56" s="263"/>
    </row>
    <row r="57" spans="2:8" ht="25.5">
      <c r="B57" s="253">
        <v>45992</v>
      </c>
      <c r="C57" s="254" t="s">
        <v>228</v>
      </c>
      <c r="E57" s="342">
        <v>46357</v>
      </c>
      <c r="F57" s="343" t="s">
        <v>228</v>
      </c>
      <c r="H57" s="270" t="s">
        <v>232</v>
      </c>
    </row>
    <row r="58" spans="2:8">
      <c r="B58" s="249" t="s">
        <v>230</v>
      </c>
      <c r="C58" s="259"/>
      <c r="E58" s="249" t="s">
        <v>230</v>
      </c>
      <c r="F58" s="259"/>
      <c r="H58" s="271">
        <f>F58-C58</f>
        <v>0</v>
      </c>
    </row>
    <row r="59" spans="2:8">
      <c r="B59" s="249" t="s">
        <v>231</v>
      </c>
      <c r="C59" s="260"/>
      <c r="E59" s="249" t="s">
        <v>231</v>
      </c>
      <c r="F59" s="260"/>
      <c r="H59" s="271">
        <f t="shared" ref="H59:H60" si="11">F59-C59</f>
        <v>0</v>
      </c>
    </row>
    <row r="60" spans="2:8" ht="15.75" thickBot="1">
      <c r="B60" s="346" t="s">
        <v>15</v>
      </c>
      <c r="C60" s="252"/>
      <c r="E60" s="346" t="s">
        <v>15</v>
      </c>
      <c r="F60" s="252"/>
      <c r="H60" s="271">
        <f t="shared" si="11"/>
        <v>0</v>
      </c>
    </row>
    <row r="61" spans="2:8">
      <c r="B61" s="148"/>
      <c r="C61" s="149"/>
    </row>
    <row r="62" spans="2:8">
      <c r="B62" s="25"/>
      <c r="C62" s="15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ESTADISTICAS AEROLINEAS </vt:lpstr>
      <vt:lpstr>DESTINO Y PROCE </vt:lpstr>
      <vt:lpstr>ATRASOS </vt:lpstr>
      <vt:lpstr>CARGA </vt:lpstr>
      <vt:lpstr>TASAS AEROPORTUARIAS</vt:lpstr>
      <vt:lpstr>TASAS MENSUALES </vt:lpstr>
      <vt:lpstr>'ATRASOS '!_Hlk74400455</vt:lpstr>
      <vt:lpstr>'ATRASOS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Martínez</dc:creator>
  <cp:keywords/>
  <dc:description/>
  <cp:lastModifiedBy>Carlos Sandoval</cp:lastModifiedBy>
  <cp:revision/>
  <dcterms:created xsi:type="dcterms:W3CDTF">2022-06-08T21:52:11Z</dcterms:created>
  <dcterms:modified xsi:type="dcterms:W3CDTF">2026-07-21T15:30:56Z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2025-12-10T15:51:45Z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b375be82-bb09-4a09-bdac-e787dd6cc6a0</vt:lpwstr>
  </property>
  <property fmtid="{D5CDD505-2E9C-101B-9397-08002B2CF9AE}" pid="7" name="MSIP_Label_defa4170-0d19-0005-0004-bc88714345d2_ActionId">
    <vt:lpwstr>657dc658-be6c-433d-be68-aea104dfd0fc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