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 tabRatio="800"/>
  </bookViews>
  <sheets>
    <sheet name="ESTADISTICAS AEROLINEAS " sheetId="11" r:id="rId1"/>
    <sheet name="DESTINO Y PROCE " sheetId="19" r:id="rId2"/>
    <sheet name="ATRASOS " sheetId="17" r:id="rId3"/>
    <sheet name="CARGA " sheetId="18" r:id="rId4"/>
    <sheet name="TASAS AEROPORTUARIAS" sheetId="20" r:id="rId5"/>
    <sheet name="TASAS MENSUALES " sheetId="21" r:id="rId6"/>
  </sheets>
  <definedNames>
    <definedName name="_Hlk74400455" localSheetId="2">'ATRASOS '!$C$88</definedName>
    <definedName name="_xlnm.Print_Area" localSheetId="2">'ATRASOS '!$A$1:$AH$178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<sst xmlns="http://schemas.openxmlformats.org/spreadsheetml/2006/main" count="850" uniqueCount="238">
  <si>
    <r>
      <rPr>
        <b/>
        <sz val="11"/>
        <rFont val="Arial"/>
        <charset val="134"/>
      </rPr>
      <t>MOVIMIENTO DE PASAJEROS</t>
    </r>
    <r>
      <rPr>
        <b/>
        <u/>
        <sz val="11"/>
        <rFont val="Arial"/>
        <charset val="134"/>
      </rPr>
      <t xml:space="preserve"> SALIDOS </t>
    </r>
    <r>
      <rPr>
        <b/>
        <sz val="11"/>
        <rFont val="Arial"/>
        <charset val="134"/>
      </rPr>
      <t>POR AEROLINEA</t>
    </r>
  </si>
  <si>
    <t>AEROLINEA</t>
  </si>
  <si>
    <t>PAX. NACIONALES</t>
  </si>
  <si>
    <t>PAX. INTERNACIONALES</t>
  </si>
  <si>
    <t>AVIANCA</t>
  </si>
  <si>
    <t>LATAM</t>
  </si>
  <si>
    <t>JETSMART</t>
  </si>
  <si>
    <t>CLIC</t>
  </si>
  <si>
    <t>AVIACIÓN GENERAL</t>
  </si>
  <si>
    <t>AVIACIÓN ESTATAL</t>
  </si>
  <si>
    <t>COPA</t>
  </si>
  <si>
    <t>Subtotal Pasajeros + Ext Tripadi + Exentos</t>
  </si>
  <si>
    <t>Subtotal Pasajeros transito</t>
  </si>
  <si>
    <t xml:space="preserve">Total Pax </t>
  </si>
  <si>
    <t>TOTAL GENERAL</t>
  </si>
  <si>
    <t>TOTAL</t>
  </si>
  <si>
    <t>AVIACION ESTATAL</t>
  </si>
  <si>
    <r>
      <rPr>
        <b/>
        <sz val="11"/>
        <rFont val="Arial"/>
        <charset val="134"/>
      </rPr>
      <t>MOVIMIENTO DE PASAJEROS</t>
    </r>
    <r>
      <rPr>
        <b/>
        <u/>
        <sz val="11"/>
        <rFont val="Arial"/>
        <charset val="134"/>
      </rPr>
      <t xml:space="preserve"> LLEGADOS </t>
    </r>
    <r>
      <rPr>
        <b/>
        <sz val="11"/>
        <rFont val="Arial"/>
        <charset val="134"/>
      </rPr>
      <t>POR AEROLINEA</t>
    </r>
  </si>
  <si>
    <t>GENERAL</t>
  </si>
  <si>
    <r>
      <rPr>
        <b/>
        <sz val="10"/>
        <color theme="0"/>
        <rFont val="Arial"/>
        <charset val="134"/>
      </rPr>
      <t xml:space="preserve">MOVIMIENTO DE PASAJEROS NACIONALES E INTERNACIONALES  </t>
    </r>
    <r>
      <rPr>
        <b/>
        <u/>
        <sz val="10"/>
        <color theme="0"/>
        <rFont val="Arial"/>
        <charset val="134"/>
      </rPr>
      <t>POR PROCEDENCIA</t>
    </r>
  </si>
  <si>
    <t>AEROPUERTOS</t>
  </si>
  <si>
    <t>PROCEDENCIA</t>
  </si>
  <si>
    <t>MPTO</t>
  </si>
  <si>
    <t>Aero Inter de T Ocumen</t>
  </si>
  <si>
    <t>PANAMA</t>
  </si>
  <si>
    <t>MPMG</t>
  </si>
  <si>
    <t xml:space="preserve">Aero Marcos A. Gelabert </t>
  </si>
  <si>
    <t>KJFK</t>
  </si>
  <si>
    <t>Aero Inter John F. Kenmedy</t>
  </si>
  <si>
    <t>NEW YORK</t>
  </si>
  <si>
    <t xml:space="preserve">SEGU </t>
  </si>
  <si>
    <t>Aero José Joaquín de Olmedo</t>
  </si>
  <si>
    <t>GUAYAQUIL</t>
  </si>
  <si>
    <t>SKBO</t>
  </si>
  <si>
    <t>Aero Inter Dorado</t>
  </si>
  <si>
    <t>BOGOTÁ</t>
  </si>
  <si>
    <t>SKRG</t>
  </si>
  <si>
    <t>Aero Inter José María Cordoba</t>
  </si>
  <si>
    <t>RIONEGRO</t>
  </si>
  <si>
    <t>SKCG</t>
  </si>
  <si>
    <t>Aero Inter Rafael Nuñez</t>
  </si>
  <si>
    <t>CARTAGENA</t>
  </si>
  <si>
    <t>SKMD</t>
  </si>
  <si>
    <t>Aero Inter Olaya Herrera</t>
  </si>
  <si>
    <t>MEDELLIN</t>
  </si>
  <si>
    <t>SVMZ</t>
  </si>
  <si>
    <t>Aeropuerto el eden</t>
  </si>
  <si>
    <t>MANIZALES</t>
  </si>
  <si>
    <t>SKUR</t>
  </si>
  <si>
    <t>Aeropuerto Santiago Perez</t>
  </si>
  <si>
    <t>ARAUCA</t>
  </si>
  <si>
    <t>SKSM</t>
  </si>
  <si>
    <t>Aero Inter Simón Bolivar</t>
  </si>
  <si>
    <t>SANTA MARTA</t>
  </si>
  <si>
    <t>SKEJ</t>
  </si>
  <si>
    <t>Aeropuerto yariguíes</t>
  </si>
  <si>
    <t>BARRANCABERMEJA</t>
  </si>
  <si>
    <t>SKGY</t>
  </si>
  <si>
    <t>Aero Guaymaral</t>
  </si>
  <si>
    <t>BOGOTA</t>
  </si>
  <si>
    <t>SKBG</t>
  </si>
  <si>
    <t>Aeropuerto Palonegro</t>
  </si>
  <si>
    <t>BUCARAMANGA</t>
  </si>
  <si>
    <t>SKIB</t>
  </si>
  <si>
    <t>Aeropuerto Perales</t>
  </si>
  <si>
    <t>IBAGUE</t>
  </si>
  <si>
    <t>Aeropuerto Guaymaral</t>
  </si>
  <si>
    <t xml:space="preserve">BOGOTA </t>
  </si>
  <si>
    <t>SKSJ</t>
  </si>
  <si>
    <t>Aeropuerto Jorge Enrique González Torres</t>
  </si>
  <si>
    <t>GUAVIARE</t>
  </si>
  <si>
    <t>SKUI</t>
  </si>
  <si>
    <t>Aeropuerto el Caraño</t>
  </si>
  <si>
    <t>QUIBDO</t>
  </si>
  <si>
    <t>SKYP</t>
  </si>
  <si>
    <t>Aeropuerto el Caraban</t>
  </si>
  <si>
    <t>YOPAL</t>
  </si>
  <si>
    <t>SKNV</t>
  </si>
  <si>
    <t>Aero Benito Salas</t>
  </si>
  <si>
    <t>NEIVA</t>
  </si>
  <si>
    <t>SKAR</t>
  </si>
  <si>
    <t>Aero Inter El Edén</t>
  </si>
  <si>
    <t>ARMENIA</t>
  </si>
  <si>
    <t>SKPS</t>
  </si>
  <si>
    <t>Aeropuerto en Chachagüí</t>
  </si>
  <si>
    <t>NARIÑO</t>
  </si>
  <si>
    <t>SKBS</t>
  </si>
  <si>
    <t>Aeropuerto Jose Celestino Mutis</t>
  </si>
  <si>
    <t>BAHIA SOLANO</t>
  </si>
  <si>
    <t>SKVP</t>
  </si>
  <si>
    <t>Aeropuerto Alfonso Lopez</t>
  </si>
  <si>
    <t>VALLEDUPAR</t>
  </si>
  <si>
    <t>SKPE</t>
  </si>
  <si>
    <t>Aero Inter Matecaña</t>
  </si>
  <si>
    <t>PEREIRA</t>
  </si>
  <si>
    <t>SKBQ</t>
  </si>
  <si>
    <t>Aero Inter Ernesto Cortissoz</t>
  </si>
  <si>
    <t xml:space="preserve">BARRANQUILLA </t>
  </si>
  <si>
    <t>SKVV</t>
  </si>
  <si>
    <t>Aero Vanguardia</t>
  </si>
  <si>
    <t>VILLAVICENCIO</t>
  </si>
  <si>
    <t>SKPP</t>
  </si>
  <si>
    <t xml:space="preserve">Aero Guillermo León Valencia </t>
  </si>
  <si>
    <t>CAUCA</t>
  </si>
  <si>
    <t>SKCL</t>
  </si>
  <si>
    <t>Aero Inter Alfonso Bonilla Aragón</t>
  </si>
  <si>
    <t>PALMIRA</t>
  </si>
  <si>
    <t>SKSP</t>
  </si>
  <si>
    <t>Aero Inter Gustavo Rojas Pinilla</t>
  </si>
  <si>
    <t>SAN ANDRES</t>
  </si>
  <si>
    <t>SKGO</t>
  </si>
  <si>
    <t>Aeropuerto Santa Ana</t>
  </si>
  <si>
    <t>CARTAGO</t>
  </si>
  <si>
    <t>SKCC</t>
  </si>
  <si>
    <t>Aeropuerto Camilo Daza</t>
  </si>
  <si>
    <t>CUCUTA</t>
  </si>
  <si>
    <t xml:space="preserve">PORCENTAJE </t>
  </si>
  <si>
    <t>RIO NEGRO</t>
  </si>
  <si>
    <t>OTROS DESTINOS</t>
  </si>
  <si>
    <r>
      <rPr>
        <b/>
        <sz val="10"/>
        <color theme="0"/>
        <rFont val="Arial"/>
        <charset val="134"/>
      </rPr>
      <t xml:space="preserve">MOVIMIENTO DE PASAJEROS NACIONALES E INTERNACIONALES  </t>
    </r>
    <r>
      <rPr>
        <b/>
        <u/>
        <sz val="10"/>
        <color theme="0"/>
        <rFont val="Arial"/>
        <charset val="134"/>
      </rPr>
      <t>POR DESTINO</t>
    </r>
  </si>
  <si>
    <t>DESTINO</t>
  </si>
  <si>
    <t>SMMX</t>
  </si>
  <si>
    <t>Aeropuerto Benito Suarez</t>
  </si>
  <si>
    <t>MEXICO</t>
  </si>
  <si>
    <t>KTPA</t>
  </si>
  <si>
    <t>Aeropuerto internacional de tampa</t>
  </si>
  <si>
    <t>TAMPA</t>
  </si>
  <si>
    <t>Aeropuerto Santiago Pérez Quiroz</t>
  </si>
  <si>
    <t>SKMR</t>
  </si>
  <si>
    <t>Aeropuerto los Garzones</t>
  </si>
  <si>
    <t>MONTERIA</t>
  </si>
  <si>
    <t>SKZZ</t>
  </si>
  <si>
    <t>Aero Las Brujas</t>
  </si>
  <si>
    <t>COROZAL</t>
  </si>
  <si>
    <t>MOVIMIENTO DE OPERACIONES POR AEROLINEA</t>
  </si>
  <si>
    <t>CÓDIGO AEROLINEA OACI</t>
  </si>
  <si>
    <t>ARE</t>
  </si>
  <si>
    <t>AVA</t>
  </si>
  <si>
    <t>JEC</t>
  </si>
  <si>
    <t>TOTAL AEROLINEAS COMERCIALES</t>
  </si>
  <si>
    <t xml:space="preserve">AVIACIÓN ESTATAL </t>
  </si>
  <si>
    <t>ESTATAL</t>
  </si>
  <si>
    <t>TOTAL OTRAS AEROLINEAS</t>
  </si>
  <si>
    <t>TOTAL OPERACIONES</t>
  </si>
  <si>
    <t>NACIONALES</t>
  </si>
  <si>
    <t>DESTINO Y PROCEDENCIA</t>
  </si>
  <si>
    <t>INTERNACIONALES</t>
  </si>
  <si>
    <t>NACIONALES E INTERNACIONALES</t>
  </si>
  <si>
    <t>COMPARATIVO OPERACIÓN ANUAL POR DESTINO Y PROCEDENCIA 2016-2026</t>
  </si>
  <si>
    <t>AÑO /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</si>
  <si>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</si>
  <si>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</si>
  <si>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</si>
  <si>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</si>
  <si>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</si>
  <si>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</si>
  <si>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</si>
  <si>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</si>
  <si>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</si>
  <si>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</si>
  <si>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</si>
  <si>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</si>
  <si>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COMPARATIVO OPERACIONES DESTINO Y PROCEDENCIA 2024 VS 2025</t>
  </si>
  <si>
    <t>MES</t>
  </si>
  <si>
    <t>% DE CREC. 2024 VS 2025</t>
  </si>
  <si>
    <t>MILITAR Y ESTADO</t>
  </si>
  <si>
    <t>REGULAR</t>
  </si>
  <si>
    <t>NO REGULAR</t>
  </si>
  <si>
    <t>ENERO - DICIEMBRE</t>
  </si>
  <si>
    <t>REPORTE VUELOS ATRASOS AGOSTO 2026</t>
  </si>
  <si>
    <t>AEROLÍNEA</t>
  </si>
  <si>
    <t>SATENA</t>
  </si>
  <si>
    <t>AMERICAN</t>
  </si>
  <si>
    <t>TOTAL VUELOS</t>
  </si>
  <si>
    <t xml:space="preserve">CLASIFICACIÓN (A) DE 00 MINUTOS A 10 MINUTOS </t>
  </si>
  <si>
    <t xml:space="preserve">CLASIFICACIÓN (B) DE 11 MINUTOS A 30 MINUTOS </t>
  </si>
  <si>
    <t>CLASIFICACIÓN ( C ) DE 31 MINUTOS A 1 HORA</t>
  </si>
  <si>
    <t>CLASIFICACIÓN (D) DE MÁS DE 1 HORA</t>
  </si>
  <si>
    <t>PORCENTAJE PARTICIPACIÓN</t>
  </si>
  <si>
    <t>REPORTE VUELOS ATRASADOS</t>
  </si>
  <si>
    <t xml:space="preserve">LATAM </t>
  </si>
  <si>
    <t>WINGO</t>
  </si>
  <si>
    <t>REPORTE VUELOS ATRASADOS AGOSTO 2025</t>
  </si>
  <si>
    <t>CUMPLE</t>
  </si>
  <si>
    <t>INCUMPLE</t>
  </si>
  <si>
    <t xml:space="preserve">COMPARATIVO OPERACIONES DESTINO Y PROCEDENCIA </t>
  </si>
  <si>
    <t>% DE CREC. 2025 VS 2026</t>
  </si>
  <si>
    <t>VOLUMEN DE CARGA MES DE AGOSTO 2026</t>
  </si>
  <si>
    <t>TOTAL EN KILOS</t>
  </si>
  <si>
    <t>AEROCAFETEROS</t>
  </si>
  <si>
    <t>DEPRISA</t>
  </si>
  <si>
    <t>VOLUMEN DE CARGA PRIMER SEMESTRE AÑO 2026  (ENERO - JUNIO)</t>
  </si>
  <si>
    <t xml:space="preserve">TOTAL </t>
  </si>
  <si>
    <t>VOLUMEN DE CARGA SEGUNDO SEMESTRE AÑO 2026  ( JULIO - DICIEMBRE)</t>
  </si>
  <si>
    <t>MOVIMIENTO DE CARGA DOMESTICO COLOMBIA VIGENCIA 2026</t>
  </si>
  <si>
    <t>Kilos Carga CO PEI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</si>
  <si>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</si>
  <si>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</si>
  <si>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</si>
  <si>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</si>
  <si>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</si>
  <si>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</si>
  <si>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</si>
  <si>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</si>
  <si>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</si>
  <si>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</si>
  <si>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</si>
  <si>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</si>
  <si>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</si>
  <si>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TOTAL KILOS</t>
  </si>
  <si>
    <t>Referencia en Kilogramos</t>
  </si>
  <si>
    <t xml:space="preserve"> MOVIMIENTO DE CARGA DOMESTICO COLOMBIA VIGENCIA 2026</t>
  </si>
  <si>
    <t xml:space="preserve">TOTAL KILOS </t>
  </si>
  <si>
    <t xml:space="preserve"> MOVIMIENTO DE CARG VIGENCIA 2026</t>
  </si>
  <si>
    <t xml:space="preserve">Diferencia mes anterior </t>
  </si>
  <si>
    <t xml:space="preserve"> MOVIMIENTO DE CARGA DOMESTICO COLOMBIA VIGENCIA 2025 VS 2026</t>
  </si>
  <si>
    <t>Vigencia 2025</t>
  </si>
  <si>
    <t>Vigencia 2026</t>
  </si>
  <si>
    <t>Diferencia</t>
  </si>
  <si>
    <t>VALOR EN TASAS AEROPORTUARIA NACIONAL 2025</t>
  </si>
  <si>
    <t>VALOR EN TASAS AEROPORTUARIA NACIONAL 2026</t>
  </si>
  <si>
    <t>CONCEPTO</t>
  </si>
  <si>
    <t>TASA (MCTE)</t>
  </si>
  <si>
    <t xml:space="preserve">VALOR TASA (M/CTE) </t>
  </si>
  <si>
    <t>VARIACION EN PESOS MES ANTERIOR</t>
  </si>
  <si>
    <t>VARIACION PORCENTUAL MES ANTERIOR</t>
  </si>
  <si>
    <t>Ingresos generados Pasajeros nacionales</t>
  </si>
  <si>
    <t>VALOR EN TASAS AEROPORTUARIA INTERNACIONAL 2025</t>
  </si>
  <si>
    <t>VALOR EN TASAS AEROPORTUARIA INTERNACIONAL 2026</t>
  </si>
  <si>
    <t>TASA (USD)</t>
  </si>
  <si>
    <t>VALOR TASA (MCTE)</t>
  </si>
  <si>
    <t>VVALOR TASA (MCTE)</t>
  </si>
  <si>
    <t xml:space="preserve">Ingresos generados pasajeros internacionales </t>
  </si>
  <si>
    <t>MONTO</t>
  </si>
  <si>
    <t>Diferencia en pesos  año anterior</t>
  </si>
  <si>
    <t>Monto Tasa Nacional en Pesos</t>
  </si>
  <si>
    <t>Monto Tasa Internacional en Pesos</t>
  </si>
  <si>
    <t>Variación en Pesos mes año anterior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</si>
</sst>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 * #,##0.00_ ;_ * \-#,##0.00_ ;_ * &quot;-&quot;??_ ;_ @_ "/>
    <numFmt numFmtId="177" formatCode="_-&quot;$&quot;\ * #,##0.00_-;\-&quot;$&quot;\ * #,##0.00_-;_-&quot;$&quot;\ * &quot;-&quot;??_-;_-@_-"/>
    <numFmt numFmtId="178" formatCode="_-* #,##0_-;\-* #,##0_-;_-* &quot;-&quot;_-;_-@_-"/>
    <numFmt numFmtId="179" formatCode="_-&quot;$&quot;\ * #,##0_-;\-&quot;$&quot;\ * #,##0_-;_-&quot;$&quot;\ * &quot;-&quot;_-;_-@_-"/>
    <numFmt numFmtId="180" formatCode="_(&quot;$&quot;\ * #,##0.00_);_(&quot;$&quot;\ * \(#,##0.00\);_(&quot;$&quot;\ * &quot;-&quot;??_);_(@_)"/>
    <numFmt numFmtId="181" formatCode="&quot;$&quot;\ #,##0"/>
    <numFmt numFmtId="182" formatCode="&quot;$&quot;\ #,##0;[Red]\-&quot;$&quot;\ #,##0"/>
    <numFmt numFmtId="183" formatCode="0.0%"/>
  </numFmts>
  <fonts count="76">
    <font>
      <sz val="11"/>
      <color theme="1"/>
      <name val="Calibri"/>
      <charset val="134"/>
      <scheme val="minor"/>
    </font>
    <font>
      <b/>
      <sz val="10"/>
      <color theme="0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0"/>
      <name val="Arial"/>
      <charset val="134"/>
    </font>
    <font>
      <sz val="9"/>
      <color theme="1"/>
      <name val="Arial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b/>
      <sz val="11"/>
      <color theme="0"/>
      <name val="Calibri"/>
      <charset val="134"/>
      <scheme val="minor"/>
    </font>
    <font>
      <b/>
      <sz val="10"/>
      <color theme="0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i/>
      <sz val="8"/>
      <color theme="1"/>
      <name val="Arial"/>
      <charset val="134"/>
    </font>
    <font>
      <b/>
      <sz val="11"/>
      <color theme="0"/>
      <name val="Arial"/>
      <charset val="134"/>
    </font>
    <font>
      <b/>
      <sz val="11"/>
      <color theme="1"/>
      <name val="Arial"/>
      <charset val="134"/>
    </font>
    <font>
      <b/>
      <sz val="14"/>
      <color theme="0"/>
      <name val="Arial"/>
      <charset val="134"/>
    </font>
    <font>
      <b/>
      <sz val="14"/>
      <color theme="1"/>
      <name val="Arial"/>
      <charset val="134"/>
    </font>
    <font>
      <b/>
      <sz val="8"/>
      <color theme="1"/>
      <name val="Arial"/>
      <charset val="134"/>
    </font>
    <font>
      <b/>
      <sz val="10"/>
      <color theme="7" tint="0.599993896298105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b/>
      <sz val="9"/>
      <color theme="1"/>
      <name val="Arial"/>
      <charset val="134"/>
    </font>
    <font>
      <sz val="11"/>
      <name val="Arial"/>
      <charset val="134"/>
    </font>
    <font>
      <sz val="11"/>
      <color rgb="FFFF0000"/>
      <name val="Arial"/>
      <charset val="134"/>
    </font>
    <font>
      <sz val="12"/>
      <name val="Arial"/>
      <charset val="134"/>
    </font>
    <font>
      <sz val="11"/>
      <color theme="1"/>
      <name val="Arial"/>
      <charset val="134"/>
    </font>
    <font>
      <b/>
      <sz val="16"/>
      <name val="Arial"/>
      <charset val="134"/>
    </font>
    <font>
      <b/>
      <sz val="16"/>
      <color rgb="FFFF0000"/>
      <name val="Arial"/>
      <charset val="134"/>
    </font>
    <font>
      <b/>
      <sz val="11"/>
      <name val="Arial"/>
      <charset val="134"/>
    </font>
    <font>
      <b/>
      <sz val="11"/>
      <color rgb="FFFF0000"/>
      <name val="Arial"/>
      <charset val="134"/>
    </font>
    <font>
      <b/>
      <sz val="14"/>
      <name val="Arial"/>
      <charset val="134"/>
    </font>
    <font>
      <b/>
      <sz val="12"/>
      <name val="Arial"/>
      <charset val="134"/>
    </font>
    <font>
      <sz val="14"/>
      <color theme="1"/>
      <name val="Arial"/>
      <charset val="134"/>
    </font>
    <font>
      <sz val="16"/>
      <color theme="1"/>
      <name val="Arial"/>
      <charset val="134"/>
    </font>
    <font>
      <b/>
      <sz val="16"/>
      <color rgb="FFFFFFFF"/>
      <name val="Arial"/>
      <charset val="134"/>
    </font>
    <font>
      <b/>
      <sz val="14"/>
      <color rgb="FFFFFFFF"/>
      <name val="Arial"/>
      <charset val="134"/>
    </font>
    <font>
      <b/>
      <sz val="11"/>
      <color rgb="FFFFFFFF"/>
      <name val="Arial"/>
      <charset val="134"/>
    </font>
    <font>
      <b/>
      <sz val="16"/>
      <color rgb="FF000000"/>
      <name val="Arial"/>
      <charset val="134"/>
    </font>
    <font>
      <b/>
      <sz val="11"/>
      <color rgb="FF000000"/>
      <name val="Arial"/>
      <charset val="134"/>
    </font>
    <font>
      <b/>
      <sz val="12"/>
      <color rgb="FF000000"/>
      <name val="Arial"/>
      <charset val="134"/>
    </font>
    <font>
      <b/>
      <sz val="16"/>
      <color theme="1"/>
      <name val="Arial"/>
      <charset val="134"/>
    </font>
    <font>
      <sz val="16"/>
      <color rgb="FF000000"/>
      <name val="Arial"/>
      <charset val="134"/>
    </font>
    <font>
      <b/>
      <sz val="11"/>
      <color theme="1" tint="0.499984740745262"/>
      <name val="Arial"/>
      <charset val="134"/>
    </font>
    <font>
      <b/>
      <sz val="11"/>
      <color theme="4" tint="-0.249977111117893"/>
      <name val="Arial"/>
      <charset val="134"/>
    </font>
    <font>
      <b/>
      <sz val="10"/>
      <color rgb="FF000000"/>
      <name val="Arial"/>
      <charset val="134"/>
    </font>
    <font>
      <sz val="11"/>
      <color rgb="FF000000"/>
      <name val="Arial"/>
      <charset val="134"/>
    </font>
    <font>
      <b/>
      <sz val="11"/>
      <name val="Arial 16"/>
      <charset val="134"/>
    </font>
    <font>
      <sz val="12"/>
      <color rgb="FF000000"/>
      <name val="Arial"/>
      <charset val="134"/>
    </font>
    <font>
      <sz val="10"/>
      <color rgb="FF000000"/>
      <name val="Arial"/>
      <charset val="134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Verdana"/>
      <charset val="134"/>
    </font>
    <font>
      <b/>
      <u/>
      <sz val="11"/>
      <name val="Arial"/>
      <charset val="134"/>
    </font>
    <font>
      <b/>
      <u/>
      <sz val="10"/>
      <color theme="0"/>
      <name val="Arial"/>
      <charset val="134"/>
    </font>
  </fonts>
  <fills count="6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176" fontId="53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3" fillId="35" borderId="67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68" applyNumberFormat="0" applyFill="0" applyAlignment="0" applyProtection="0">
      <alignment vertical="center"/>
    </xf>
    <xf numFmtId="0" fontId="60" fillId="0" borderId="68" applyNumberFormat="0" applyFill="0" applyAlignment="0" applyProtection="0">
      <alignment vertical="center"/>
    </xf>
    <xf numFmtId="0" fontId="61" fillId="0" borderId="6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36" borderId="70" applyNumberFormat="0" applyAlignment="0" applyProtection="0">
      <alignment vertical="center"/>
    </xf>
    <xf numFmtId="0" fontId="63" fillId="37" borderId="71" applyNumberFormat="0" applyAlignment="0" applyProtection="0">
      <alignment vertical="center"/>
    </xf>
    <xf numFmtId="0" fontId="64" fillId="37" borderId="70" applyNumberFormat="0" applyAlignment="0" applyProtection="0">
      <alignment vertical="center"/>
    </xf>
    <xf numFmtId="0" fontId="65" fillId="38" borderId="72" applyNumberFormat="0" applyAlignment="0" applyProtection="0">
      <alignment vertical="center"/>
    </xf>
    <xf numFmtId="0" fontId="66" fillId="0" borderId="73" applyNumberFormat="0" applyFill="0" applyAlignment="0" applyProtection="0">
      <alignment vertical="center"/>
    </xf>
    <xf numFmtId="0" fontId="67" fillId="0" borderId="74" applyNumberFormat="0" applyFill="0" applyAlignment="0" applyProtection="0">
      <alignment vertical="center"/>
    </xf>
    <xf numFmtId="0" fontId="68" fillId="39" borderId="0" applyNumberFormat="0" applyBorder="0" applyAlignment="0" applyProtection="0">
      <alignment vertical="center"/>
    </xf>
    <xf numFmtId="0" fontId="69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1" fillId="42" borderId="0" applyNumberFormat="0" applyBorder="0" applyAlignment="0" applyProtection="0">
      <alignment vertical="center"/>
    </xf>
    <xf numFmtId="0" fontId="72" fillId="43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2" fillId="47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6" borderId="0" applyNumberFormat="0" applyBorder="0" applyAlignment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71" fillId="58" borderId="0" applyNumberFormat="0" applyBorder="0" applyAlignment="0" applyProtection="0">
      <alignment vertical="center"/>
    </xf>
    <xf numFmtId="0" fontId="72" fillId="59" borderId="0" applyNumberFormat="0" applyBorder="0" applyAlignment="0" applyProtection="0">
      <alignment vertical="center"/>
    </xf>
    <xf numFmtId="0" fontId="72" fillId="60" borderId="0" applyNumberFormat="0" applyBorder="0" applyAlignment="0" applyProtection="0">
      <alignment vertical="center"/>
    </xf>
    <xf numFmtId="0" fontId="71" fillId="61" borderId="0" applyNumberFormat="0" applyBorder="0" applyAlignment="0" applyProtection="0">
      <alignment vertical="center"/>
    </xf>
    <xf numFmtId="0" fontId="71" fillId="62" borderId="0" applyNumberFormat="0" applyBorder="0" applyAlignment="0" applyProtection="0">
      <alignment vertical="center"/>
    </xf>
    <xf numFmtId="0" fontId="72" fillId="63" borderId="0" applyNumberFormat="0" applyBorder="0" applyAlignment="0" applyProtection="0">
      <alignment vertical="center"/>
    </xf>
    <xf numFmtId="0" fontId="72" fillId="64" borderId="0" applyNumberFormat="0" applyBorder="0" applyAlignment="0" applyProtection="0">
      <alignment vertical="center"/>
    </xf>
    <xf numFmtId="0" fontId="71" fillId="65" borderId="0" applyNumberFormat="0" applyBorder="0" applyAlignment="0" applyProtection="0">
      <alignment vertical="center"/>
    </xf>
    <xf numFmtId="0" fontId="73" fillId="66" borderId="0">
      <alignment horizontal="center"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0" borderId="0"/>
    <xf numFmtId="0" fontId="73" fillId="66" borderId="0"/>
  </cellStyleXfs>
  <cellXfs count="476">
    <xf numFmtId="0" fontId="0" fillId="0" borderId="0" xfId="0"/>
    <xf numFmtId="17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181" fontId="2" fillId="0" borderId="3" xfId="5" applyNumberFormat="1" applyFont="1" applyBorder="1" applyAlignment="1">
      <alignment horizontal="center"/>
    </xf>
    <xf numFmtId="181" fontId="2" fillId="0" borderId="3" xfId="0" applyNumberFormat="1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81" fontId="3" fillId="0" borderId="3" xfId="0" applyNumberFormat="1" applyFont="1" applyBorder="1" applyAlignment="1">
      <alignment horizontal="center" vertical="center"/>
    </xf>
    <xf numFmtId="181" fontId="3" fillId="5" borderId="3" xfId="0" applyNumberFormat="1" applyFont="1" applyFill="1" applyBorder="1" applyAlignment="1">
      <alignment horizontal="center"/>
    </xf>
    <xf numFmtId="0" fontId="2" fillId="0" borderId="0" xfId="0" applyFont="1"/>
    <xf numFmtId="0" fontId="2" fillId="4" borderId="4" xfId="0" applyFont="1" applyFill="1" applyBorder="1"/>
    <xf numFmtId="179" fontId="2" fillId="0" borderId="3" xfId="5" applyFont="1" applyBorder="1"/>
    <xf numFmtId="0" fontId="2" fillId="4" borderId="5" xfId="0" applyFont="1" applyFill="1" applyBorder="1" applyAlignment="1">
      <alignment horizontal="center"/>
    </xf>
    <xf numFmtId="181" fontId="3" fillId="0" borderId="6" xfId="0" applyNumberFormat="1" applyFont="1" applyBorder="1" applyAlignment="1">
      <alignment horizontal="center" vertical="center"/>
    </xf>
    <xf numFmtId="179" fontId="2" fillId="0" borderId="3" xfId="5" applyFont="1" applyFill="1" applyBorder="1"/>
    <xf numFmtId="179" fontId="2" fillId="0" borderId="0" xfId="5" applyFont="1"/>
    <xf numFmtId="181" fontId="2" fillId="0" borderId="3" xfId="0" applyNumberFormat="1" applyFont="1" applyBorder="1"/>
    <xf numFmtId="9" fontId="2" fillId="0" borderId="0" xfId="3" applyFont="1"/>
    <xf numFmtId="181" fontId="2" fillId="0" borderId="3" xfId="4" applyNumberFormat="1" applyFont="1" applyBorder="1" applyAlignment="1"/>
    <xf numFmtId="181" fontId="2" fillId="0" borderId="3" xfId="4" applyNumberFormat="1" applyFont="1" applyBorder="1"/>
    <xf numFmtId="0" fontId="3" fillId="0" borderId="0" xfId="0" applyFont="1"/>
    <xf numFmtId="179" fontId="3" fillId="0" borderId="0" xfId="5" applyFont="1" applyFill="1" applyBorder="1" applyAlignment="1">
      <alignment horizontal="center"/>
    </xf>
    <xf numFmtId="179" fontId="4" fillId="0" borderId="0" xfId="5" applyFont="1" applyFill="1" applyBorder="1" applyAlignment="1">
      <alignment horizontal="center"/>
    </xf>
    <xf numFmtId="0" fontId="5" fillId="0" borderId="0" xfId="0" applyFont="1"/>
    <xf numFmtId="181" fontId="6" fillId="0" borderId="0" xfId="0" applyNumberFormat="1" applyFont="1" applyAlignment="1">
      <alignment horizontal="center"/>
    </xf>
    <xf numFmtId="0" fontId="7" fillId="0" borderId="0" xfId="0" applyFont="1"/>
    <xf numFmtId="179" fontId="7" fillId="0" borderId="0" xfId="5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17" fontId="2" fillId="0" borderId="4" xfId="0" applyNumberFormat="1" applyFont="1" applyBorder="1"/>
    <xf numFmtId="0" fontId="9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9" fontId="2" fillId="0" borderId="3" xfId="4" applyNumberFormat="1" applyFont="1" applyBorder="1"/>
    <xf numFmtId="179" fontId="10" fillId="0" borderId="3" xfId="4" applyNumberFormat="1" applyFont="1" applyBorder="1"/>
    <xf numFmtId="9" fontId="10" fillId="0" borderId="11" xfId="3" applyFont="1" applyFill="1" applyBorder="1"/>
    <xf numFmtId="0" fontId="9" fillId="0" borderId="12" xfId="0" applyFont="1" applyBorder="1" applyAlignment="1">
      <alignment horizontal="center" vertical="center" wrapText="1"/>
    </xf>
    <xf numFmtId="181" fontId="10" fillId="0" borderId="3" xfId="4" applyNumberFormat="1" applyFont="1" applyFill="1" applyBorder="1"/>
    <xf numFmtId="179" fontId="2" fillId="0" borderId="3" xfId="4" applyNumberFormat="1" applyFont="1" applyFill="1" applyBorder="1"/>
    <xf numFmtId="182" fontId="10" fillId="0" borderId="3" xfId="4" applyNumberFormat="1" applyFont="1" applyFill="1" applyBorder="1"/>
    <xf numFmtId="10" fontId="2" fillId="0" borderId="11" xfId="3" applyNumberFormat="1" applyFont="1" applyBorder="1"/>
    <xf numFmtId="182" fontId="10" fillId="0" borderId="3" xfId="4" applyNumberFormat="1" applyFont="1" applyBorder="1"/>
    <xf numFmtId="178" fontId="10" fillId="0" borderId="3" xfId="4" applyFont="1" applyBorder="1"/>
    <xf numFmtId="10" fontId="11" fillId="0" borderId="11" xfId="3" applyNumberFormat="1" applyFont="1" applyBorder="1"/>
    <xf numFmtId="0" fontId="2" fillId="0" borderId="10" xfId="0" applyFont="1" applyBorder="1" applyAlignment="1">
      <alignment horizontal="center" vertical="center" wrapText="1"/>
    </xf>
    <xf numFmtId="179" fontId="2" fillId="0" borderId="10" xfId="4" applyNumberFormat="1" applyFont="1" applyBorder="1"/>
    <xf numFmtId="178" fontId="11" fillId="0" borderId="6" xfId="4" applyFont="1" applyBorder="1"/>
    <xf numFmtId="10" fontId="11" fillId="0" borderId="13" xfId="3" applyNumberFormat="1" applyFont="1" applyBorder="1"/>
    <xf numFmtId="0" fontId="3" fillId="0" borderId="3" xfId="0" applyFont="1" applyBorder="1" applyAlignment="1">
      <alignment horizontal="center" vertical="center"/>
    </xf>
    <xf numFmtId="181" fontId="3" fillId="0" borderId="3" xfId="4" applyNumberFormat="1" applyFont="1" applyBorder="1" applyAlignment="1">
      <alignment horizontal="center"/>
    </xf>
    <xf numFmtId="181" fontId="3" fillId="0" borderId="0" xfId="4" applyNumberFormat="1" applyFont="1" applyBorder="1"/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17" fontId="2" fillId="0" borderId="3" xfId="0" applyNumberFormat="1" applyFont="1" applyBorder="1"/>
    <xf numFmtId="0" fontId="9" fillId="0" borderId="3" xfId="0" applyFont="1" applyBorder="1" applyAlignment="1">
      <alignment horizontal="center" vertical="center" wrapText="1"/>
    </xf>
    <xf numFmtId="179" fontId="10" fillId="0" borderId="3" xfId="4" applyNumberFormat="1" applyFont="1" applyFill="1" applyBorder="1"/>
    <xf numFmtId="10" fontId="2" fillId="0" borderId="3" xfId="3" applyNumberFormat="1" applyFont="1" applyBorder="1"/>
    <xf numFmtId="178" fontId="11" fillId="0" borderId="3" xfId="4" applyFont="1" applyBorder="1"/>
    <xf numFmtId="10" fontId="11" fillId="0" borderId="3" xfId="3" applyNumberFormat="1" applyFont="1" applyBorder="1"/>
    <xf numFmtId="10" fontId="4" fillId="0" borderId="3" xfId="3" applyNumberFormat="1" applyFont="1" applyBorder="1"/>
    <xf numFmtId="181" fontId="3" fillId="0" borderId="14" xfId="4" applyNumberFormat="1" applyFont="1" applyBorder="1"/>
    <xf numFmtId="0" fontId="12" fillId="8" borderId="7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7" fillId="0" borderId="4" xfId="0" applyFont="1" applyBorder="1"/>
    <xf numFmtId="3" fontId="7" fillId="0" borderId="11" xfId="0" applyNumberFormat="1" applyFont="1" applyBorder="1"/>
    <xf numFmtId="0" fontId="7" fillId="5" borderId="5" xfId="0" applyFont="1" applyFill="1" applyBorder="1" applyAlignment="1">
      <alignment horizontal="center" vertical="center" wrapText="1"/>
    </xf>
    <xf numFmtId="3" fontId="7" fillId="5" borderId="13" xfId="0" applyNumberFormat="1" applyFont="1" applyFill="1" applyBorder="1"/>
    <xf numFmtId="0" fontId="13" fillId="8" borderId="7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13" fillId="9" borderId="18" xfId="0" applyFont="1" applyFill="1" applyBorder="1" applyAlignment="1">
      <alignment horizontal="center"/>
    </xf>
    <xf numFmtId="0" fontId="13" fillId="9" borderId="19" xfId="0" applyFont="1" applyFill="1" applyBorder="1" applyAlignment="1">
      <alignment horizontal="center"/>
    </xf>
    <xf numFmtId="0" fontId="13" fillId="9" borderId="20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" fillId="9" borderId="22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3" fillId="10" borderId="22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3" fillId="10" borderId="23" xfId="0" applyFont="1" applyFill="1" applyBorder="1" applyAlignment="1">
      <alignment horizontal="left"/>
    </xf>
    <xf numFmtId="3" fontId="3" fillId="10" borderId="22" xfId="0" applyNumberFormat="1" applyFont="1" applyFill="1" applyBorder="1" applyAlignment="1">
      <alignment horizontal="center"/>
    </xf>
    <xf numFmtId="3" fontId="3" fillId="10" borderId="24" xfId="0" applyNumberFormat="1" applyFont="1" applyFill="1" applyBorder="1" applyAlignment="1">
      <alignment horizontal="center"/>
    </xf>
    <xf numFmtId="3" fontId="3" fillId="10" borderId="25" xfId="0" applyNumberFormat="1" applyFont="1" applyFill="1" applyBorder="1" applyAlignment="1">
      <alignment horizontal="center"/>
    </xf>
    <xf numFmtId="0" fontId="15" fillId="0" borderId="26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27" xfId="0" applyFont="1" applyBorder="1" applyAlignment="1">
      <alignment wrapText="1"/>
    </xf>
    <xf numFmtId="0" fontId="15" fillId="0" borderId="28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12" fillId="11" borderId="18" xfId="0" applyFont="1" applyFill="1" applyBorder="1" applyAlignment="1">
      <alignment horizontal="center"/>
    </xf>
    <xf numFmtId="0" fontId="12" fillId="11" borderId="19" xfId="0" applyFont="1" applyFill="1" applyBorder="1" applyAlignment="1">
      <alignment horizontal="center"/>
    </xf>
    <xf numFmtId="0" fontId="12" fillId="11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11" borderId="22" xfId="0" applyFont="1" applyFill="1" applyBorder="1" applyAlignment="1">
      <alignment horizontal="center" wrapText="1"/>
    </xf>
    <xf numFmtId="0" fontId="16" fillId="11" borderId="4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left"/>
    </xf>
    <xf numFmtId="3" fontId="17" fillId="0" borderId="4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center"/>
    </xf>
    <xf numFmtId="3" fontId="17" fillId="0" borderId="11" xfId="0" applyNumberFormat="1" applyFont="1" applyBorder="1" applyAlignment="1">
      <alignment horizontal="center"/>
    </xf>
    <xf numFmtId="0" fontId="16" fillId="12" borderId="23" xfId="0" applyFont="1" applyFill="1" applyBorder="1" applyAlignment="1">
      <alignment horizontal="left"/>
    </xf>
    <xf numFmtId="3" fontId="16" fillId="12" borderId="22" xfId="0" applyNumberFormat="1" applyFont="1" applyFill="1" applyBorder="1" applyAlignment="1">
      <alignment horizontal="center"/>
    </xf>
    <xf numFmtId="3" fontId="16" fillId="12" borderId="24" xfId="0" applyNumberFormat="1" applyFont="1" applyFill="1" applyBorder="1" applyAlignment="1">
      <alignment horizontal="center"/>
    </xf>
    <xf numFmtId="3" fontId="16" fillId="12" borderId="25" xfId="0" applyNumberFormat="1" applyFont="1" applyFill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7" fillId="13" borderId="18" xfId="0" applyFont="1" applyFill="1" applyBorder="1" applyAlignment="1">
      <alignment horizontal="center"/>
    </xf>
    <xf numFmtId="0" fontId="7" fillId="13" borderId="19" xfId="0" applyFont="1" applyFill="1" applyBorder="1" applyAlignment="1">
      <alignment horizontal="center"/>
    </xf>
    <xf numFmtId="0" fontId="7" fillId="13" borderId="2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13" borderId="4" xfId="0" applyFont="1" applyFill="1" applyBorder="1" applyAlignment="1">
      <alignment horizontal="center" wrapText="1"/>
    </xf>
    <xf numFmtId="0" fontId="17" fillId="13" borderId="3" xfId="0" applyFont="1" applyFill="1" applyBorder="1" applyAlignment="1">
      <alignment horizontal="center"/>
    </xf>
    <xf numFmtId="0" fontId="17" fillId="13" borderId="11" xfId="0" applyFont="1" applyFill="1" applyBorder="1" applyAlignment="1">
      <alignment horizontal="center"/>
    </xf>
    <xf numFmtId="0" fontId="17" fillId="10" borderId="4" xfId="0" applyFont="1" applyFill="1" applyBorder="1" applyAlignment="1">
      <alignment horizontal="left"/>
    </xf>
    <xf numFmtId="0" fontId="16" fillId="12" borderId="15" xfId="0" applyFont="1" applyFill="1" applyBorder="1" applyAlignment="1">
      <alignment horizontal="left"/>
    </xf>
    <xf numFmtId="3" fontId="16" fillId="12" borderId="29" xfId="0" applyNumberFormat="1" applyFont="1" applyFill="1" applyBorder="1" applyAlignment="1">
      <alignment horizontal="center"/>
    </xf>
    <xf numFmtId="3" fontId="16" fillId="12" borderId="24" xfId="0" applyNumberFormat="1" applyFont="1" applyFill="1" applyBorder="1"/>
    <xf numFmtId="3" fontId="16" fillId="12" borderId="25" xfId="0" applyNumberFormat="1" applyFont="1" applyFill="1" applyBorder="1"/>
    <xf numFmtId="0" fontId="15" fillId="0" borderId="28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3" fillId="14" borderId="29" xfId="0" applyFont="1" applyFill="1" applyBorder="1" applyAlignment="1">
      <alignment horizontal="center"/>
    </xf>
    <xf numFmtId="0" fontId="13" fillId="14" borderId="24" xfId="0" applyFont="1" applyFill="1" applyBorder="1" applyAlignment="1">
      <alignment horizontal="center"/>
    </xf>
    <xf numFmtId="0" fontId="13" fillId="14" borderId="30" xfId="0" applyFont="1" applyFill="1" applyBorder="1" applyAlignment="1">
      <alignment horizontal="center"/>
    </xf>
    <xf numFmtId="0" fontId="13" fillId="14" borderId="3" xfId="0" applyFont="1" applyFill="1" applyBorder="1"/>
    <xf numFmtId="0" fontId="4" fillId="14" borderId="3" xfId="0" applyFont="1" applyFill="1" applyBorder="1" applyAlignment="1">
      <alignment horizontal="center" wrapText="1"/>
    </xf>
    <xf numFmtId="0" fontId="4" fillId="14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3" fontId="7" fillId="0" borderId="3" xfId="0" applyNumberFormat="1" applyFont="1" applyBorder="1"/>
    <xf numFmtId="0" fontId="18" fillId="14" borderId="3" xfId="0" applyFont="1" applyFill="1" applyBorder="1" applyAlignment="1">
      <alignment horizontal="center"/>
    </xf>
    <xf numFmtId="3" fontId="18" fillId="14" borderId="3" xfId="0" applyNumberFormat="1" applyFont="1" applyFill="1" applyBorder="1" applyAlignment="1">
      <alignment horizontal="center"/>
    </xf>
    <xf numFmtId="0" fontId="3" fillId="16" borderId="3" xfId="0" applyFont="1" applyFill="1" applyBorder="1" applyAlignment="1">
      <alignment horizontal="left"/>
    </xf>
    <xf numFmtId="3" fontId="19" fillId="16" borderId="29" xfId="0" applyNumberFormat="1" applyFont="1" applyFill="1" applyBorder="1" applyAlignment="1">
      <alignment horizontal="center"/>
    </xf>
    <xf numFmtId="3" fontId="19" fillId="16" borderId="24" xfId="0" applyNumberFormat="1" applyFont="1" applyFill="1" applyBorder="1" applyAlignment="1">
      <alignment horizontal="center"/>
    </xf>
    <xf numFmtId="3" fontId="19" fillId="16" borderId="30" xfId="0" applyNumberFormat="1" applyFont="1" applyFill="1" applyBorder="1" applyAlignment="1">
      <alignment horizontal="center"/>
    </xf>
    <xf numFmtId="0" fontId="0" fillId="0" borderId="3" xfId="0" applyBorder="1"/>
    <xf numFmtId="0" fontId="20" fillId="5" borderId="3" xfId="0" applyFont="1" applyFill="1" applyBorder="1" applyAlignment="1">
      <alignment wrapText="1"/>
    </xf>
    <xf numFmtId="3" fontId="20" fillId="0" borderId="3" xfId="0" applyNumberFormat="1" applyFont="1" applyBorder="1" applyAlignment="1">
      <alignment horizontal="center" wrapText="1"/>
    </xf>
    <xf numFmtId="3" fontId="15" fillId="0" borderId="3" xfId="0" applyNumberFormat="1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3" fillId="17" borderId="29" xfId="0" applyFont="1" applyFill="1" applyBorder="1" applyAlignment="1">
      <alignment horizontal="center"/>
    </xf>
    <xf numFmtId="0" fontId="13" fillId="17" borderId="24" xfId="0" applyFont="1" applyFill="1" applyBorder="1" applyAlignment="1">
      <alignment horizontal="center"/>
    </xf>
    <xf numFmtId="0" fontId="13" fillId="17" borderId="30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3" fontId="21" fillId="14" borderId="3" xfId="0" applyNumberFormat="1" applyFont="1" applyFill="1" applyBorder="1" applyAlignment="1">
      <alignment horizontal="center"/>
    </xf>
    <xf numFmtId="3" fontId="1" fillId="14" borderId="3" xfId="0" applyNumberFormat="1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22" fillId="13" borderId="32" xfId="0" applyFont="1" applyFill="1" applyBorder="1" applyAlignment="1">
      <alignment horizontal="center" vertical="center"/>
    </xf>
    <xf numFmtId="0" fontId="22" fillId="13" borderId="33" xfId="0" applyFont="1" applyFill="1" applyBorder="1" applyAlignment="1">
      <alignment horizontal="center" vertical="center"/>
    </xf>
    <xf numFmtId="0" fontId="22" fillId="13" borderId="34" xfId="0" applyFont="1" applyFill="1" applyBorder="1" applyAlignment="1">
      <alignment horizontal="center" vertical="center"/>
    </xf>
    <xf numFmtId="0" fontId="23" fillId="18" borderId="35" xfId="0" applyFont="1" applyFill="1" applyBorder="1"/>
    <xf numFmtId="3" fontId="23" fillId="0" borderId="36" xfId="0" applyNumberFormat="1" applyFont="1" applyBorder="1"/>
    <xf numFmtId="3" fontId="23" fillId="0" borderId="14" xfId="0" applyNumberFormat="1" applyFont="1" applyBorder="1"/>
    <xf numFmtId="3" fontId="23" fillId="0" borderId="37" xfId="0" applyNumberFormat="1" applyFont="1" applyBorder="1"/>
    <xf numFmtId="0" fontId="23" fillId="18" borderId="38" xfId="0" applyFont="1" applyFill="1" applyBorder="1"/>
    <xf numFmtId="3" fontId="23" fillId="0" borderId="30" xfId="0" applyNumberFormat="1" applyFont="1" applyBorder="1"/>
    <xf numFmtId="3" fontId="23" fillId="0" borderId="3" xfId="0" applyNumberFormat="1" applyFont="1" applyBorder="1"/>
    <xf numFmtId="0" fontId="23" fillId="0" borderId="11" xfId="0" applyFont="1" applyBorder="1"/>
    <xf numFmtId="0" fontId="23" fillId="18" borderId="39" xfId="0" applyFont="1" applyFill="1" applyBorder="1"/>
    <xf numFmtId="3" fontId="23" fillId="0" borderId="40" xfId="0" applyNumberFormat="1" applyFont="1" applyBorder="1"/>
    <xf numFmtId="3" fontId="23" fillId="0" borderId="10" xfId="0" applyNumberFormat="1" applyFont="1" applyBorder="1"/>
    <xf numFmtId="0" fontId="23" fillId="0" borderId="16" xfId="0" applyFont="1" applyBorder="1"/>
    <xf numFmtId="0" fontId="22" fillId="5" borderId="41" xfId="0" applyFont="1" applyFill="1" applyBorder="1"/>
    <xf numFmtId="3" fontId="22" fillId="5" borderId="42" xfId="0" applyNumberFormat="1" applyFont="1" applyFill="1" applyBorder="1"/>
    <xf numFmtId="3" fontId="22" fillId="5" borderId="33" xfId="0" applyNumberFormat="1" applyFont="1" applyFill="1" applyBorder="1"/>
    <xf numFmtId="3" fontId="22" fillId="5" borderId="34" xfId="0" applyNumberFormat="1" applyFont="1" applyFill="1" applyBorder="1"/>
    <xf numFmtId="3" fontId="23" fillId="0" borderId="0" xfId="0" applyNumberFormat="1" applyFont="1"/>
    <xf numFmtId="0" fontId="16" fillId="6" borderId="43" xfId="0" applyFont="1" applyFill="1" applyBorder="1" applyAlignment="1">
      <alignment horizontal="center" vertical="center"/>
    </xf>
    <xf numFmtId="0" fontId="16" fillId="6" borderId="44" xfId="0" applyFont="1" applyFill="1" applyBorder="1" applyAlignment="1">
      <alignment horizontal="center" vertical="center"/>
    </xf>
    <xf numFmtId="0" fontId="16" fillId="6" borderId="45" xfId="0" applyFont="1" applyFill="1" applyBorder="1" applyAlignment="1">
      <alignment horizontal="center" vertical="center"/>
    </xf>
    <xf numFmtId="0" fontId="8" fillId="6" borderId="46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/>
    </xf>
    <xf numFmtId="0" fontId="19" fillId="19" borderId="2" xfId="0" applyFont="1" applyFill="1" applyBorder="1" applyAlignment="1">
      <alignment horizontal="center"/>
    </xf>
    <xf numFmtId="0" fontId="19" fillId="19" borderId="47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/>
    </xf>
    <xf numFmtId="0" fontId="19" fillId="19" borderId="3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/>
    </xf>
    <xf numFmtId="0" fontId="24" fillId="20" borderId="5" xfId="0" applyFont="1" applyFill="1" applyBorder="1" applyAlignment="1">
      <alignment horizontal="center" vertical="center" wrapText="1"/>
    </xf>
    <xf numFmtId="0" fontId="24" fillId="20" borderId="6" xfId="0" applyFont="1" applyFill="1" applyBorder="1" applyAlignment="1">
      <alignment horizontal="center" vertical="center" wrapText="1"/>
    </xf>
    <xf numFmtId="0" fontId="19" fillId="19" borderId="13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24" fillId="20" borderId="3" xfId="0" applyFont="1" applyFill="1" applyBorder="1" applyAlignment="1">
      <alignment horizontal="center" vertical="center" wrapText="1"/>
    </xf>
    <xf numFmtId="0" fontId="25" fillId="0" borderId="22" xfId="0" applyFont="1" applyBorder="1"/>
    <xf numFmtId="3" fontId="25" fillId="0" borderId="4" xfId="0" applyNumberFormat="1" applyFont="1" applyBorder="1" applyAlignment="1">
      <alignment horizontal="center"/>
    </xf>
    <xf numFmtId="3" fontId="25" fillId="0" borderId="3" xfId="0" applyNumberFormat="1" applyFont="1" applyBorder="1" applyAlignment="1">
      <alignment horizontal="center"/>
    </xf>
    <xf numFmtId="3" fontId="25" fillId="0" borderId="37" xfId="0" applyNumberFormat="1" applyFont="1" applyBorder="1" applyAlignment="1">
      <alignment horizontal="center" vertical="center"/>
    </xf>
    <xf numFmtId="10" fontId="25" fillId="0" borderId="25" xfId="0" applyNumberFormat="1" applyFont="1" applyBorder="1" applyAlignment="1">
      <alignment horizontal="center" vertical="center"/>
    </xf>
    <xf numFmtId="3" fontId="25" fillId="0" borderId="3" xfId="0" applyNumberFormat="1" applyFont="1" applyBorder="1" applyAlignment="1">
      <alignment horizontal="center" vertical="center"/>
    </xf>
    <xf numFmtId="10" fontId="26" fillId="0" borderId="25" xfId="0" applyNumberFormat="1" applyFont="1" applyBorder="1" applyAlignment="1">
      <alignment horizontal="center" vertical="center"/>
    </xf>
    <xf numFmtId="0" fontId="27" fillId="21" borderId="22" xfId="0" applyFont="1" applyFill="1" applyBorder="1"/>
    <xf numFmtId="0" fontId="28" fillId="21" borderId="22" xfId="0" applyFont="1" applyFill="1" applyBorder="1"/>
    <xf numFmtId="3" fontId="25" fillId="21" borderId="3" xfId="0" applyNumberFormat="1" applyFont="1" applyFill="1" applyBorder="1" applyAlignment="1">
      <alignment horizontal="center"/>
    </xf>
    <xf numFmtId="3" fontId="25" fillId="21" borderId="37" xfId="0" applyNumberFormat="1" applyFont="1" applyFill="1" applyBorder="1" applyAlignment="1">
      <alignment horizontal="center" vertical="center"/>
    </xf>
    <xf numFmtId="10" fontId="26" fillId="21" borderId="25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/>
    </xf>
    <xf numFmtId="3" fontId="29" fillId="13" borderId="32" xfId="0" applyNumberFormat="1" applyFont="1" applyFill="1" applyBorder="1" applyAlignment="1">
      <alignment horizontal="center"/>
    </xf>
    <xf numFmtId="3" fontId="29" fillId="13" borderId="33" xfId="0" applyNumberFormat="1" applyFont="1" applyFill="1" applyBorder="1" applyAlignment="1">
      <alignment horizontal="center"/>
    </xf>
    <xf numFmtId="3" fontId="29" fillId="13" borderId="34" xfId="0" applyNumberFormat="1" applyFont="1" applyFill="1" applyBorder="1" applyAlignment="1">
      <alignment horizontal="center"/>
    </xf>
    <xf numFmtId="10" fontId="30" fillId="13" borderId="32" xfId="3" applyNumberFormat="1" applyFont="1" applyFill="1" applyBorder="1" applyAlignment="1">
      <alignment horizontal="center"/>
    </xf>
    <xf numFmtId="3" fontId="29" fillId="13" borderId="3" xfId="0" applyNumberFormat="1" applyFont="1" applyFill="1" applyBorder="1" applyAlignment="1">
      <alignment horizontal="center"/>
    </xf>
    <xf numFmtId="3" fontId="0" fillId="0" borderId="0" xfId="0" applyNumberFormat="1"/>
    <xf numFmtId="0" fontId="0" fillId="0" borderId="1" xfId="0" applyBorder="1"/>
    <xf numFmtId="0" fontId="7" fillId="0" borderId="4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9" fillId="22" borderId="3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/>
    </xf>
    <xf numFmtId="3" fontId="31" fillId="5" borderId="3" xfId="0" applyNumberFormat="1" applyFont="1" applyFill="1" applyBorder="1" applyAlignment="1">
      <alignment horizontal="center" vertical="center"/>
    </xf>
    <xf numFmtId="3" fontId="31" fillId="5" borderId="37" xfId="0" applyNumberFormat="1" applyFont="1" applyFill="1" applyBorder="1" applyAlignment="1">
      <alignment horizontal="center" vertical="center"/>
    </xf>
    <xf numFmtId="10" fontId="32" fillId="5" borderId="2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10" fontId="33" fillId="0" borderId="0" xfId="0" applyNumberFormat="1" applyFont="1" applyAlignment="1">
      <alignment horizontal="center" vertical="center"/>
    </xf>
    <xf numFmtId="10" fontId="0" fillId="0" borderId="0" xfId="3" applyNumberFormat="1" applyFont="1"/>
    <xf numFmtId="0" fontId="18" fillId="19" borderId="51" xfId="0" applyFont="1" applyFill="1" applyBorder="1" applyAlignment="1">
      <alignment horizontal="center" vertical="center"/>
    </xf>
    <xf numFmtId="0" fontId="18" fillId="19" borderId="5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4" fillId="23" borderId="1" xfId="0" applyFont="1" applyFill="1" applyBorder="1" applyAlignment="1">
      <alignment horizontal="center" vertical="center" wrapText="1"/>
    </xf>
    <xf numFmtId="0" fontId="22" fillId="24" borderId="2" xfId="0" applyFont="1" applyFill="1" applyBorder="1" applyAlignment="1">
      <alignment horizontal="center" vertical="center" wrapText="1"/>
    </xf>
    <xf numFmtId="0" fontId="22" fillId="24" borderId="3" xfId="0" applyFont="1" applyFill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 wrapText="1"/>
    </xf>
    <xf numFmtId="0" fontId="18" fillId="24" borderId="3" xfId="0" applyFont="1" applyFill="1" applyBorder="1" applyAlignment="1">
      <alignment horizontal="center" vertical="center"/>
    </xf>
    <xf numFmtId="0" fontId="18" fillId="24" borderId="3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3" fillId="25" borderId="11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6" borderId="15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19" fillId="5" borderId="32" xfId="0" applyFont="1" applyFill="1" applyBorder="1" applyAlignment="1">
      <alignment horizontal="center" vertical="center" wrapText="1"/>
    </xf>
    <xf numFmtId="10" fontId="19" fillId="10" borderId="33" xfId="0" applyNumberFormat="1" applyFont="1" applyFill="1" applyBorder="1" applyAlignment="1">
      <alignment horizontal="center" vertical="center"/>
    </xf>
    <xf numFmtId="9" fontId="19" fillId="5" borderId="34" xfId="4" applyNumberFormat="1" applyFont="1" applyFill="1" applyBorder="1" applyAlignment="1">
      <alignment horizontal="center"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 wrapText="1"/>
    </xf>
    <xf numFmtId="0" fontId="3" fillId="24" borderId="3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4" fillId="23" borderId="32" xfId="0" applyFont="1" applyFill="1" applyBorder="1" applyAlignment="1">
      <alignment horizontal="center" vertical="center" wrapText="1"/>
    </xf>
    <xf numFmtId="0" fontId="18" fillId="24" borderId="6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8" fillId="19" borderId="17" xfId="0" applyFont="1" applyFill="1" applyBorder="1" applyAlignment="1">
      <alignment horizontal="center" vertical="center" wrapText="1"/>
    </xf>
    <xf numFmtId="0" fontId="18" fillId="19" borderId="54" xfId="0" applyFont="1" applyFill="1" applyBorder="1" applyAlignment="1">
      <alignment horizontal="center" vertical="center" wrapText="1"/>
    </xf>
    <xf numFmtId="0" fontId="18" fillId="19" borderId="55" xfId="0" applyFont="1" applyFill="1" applyBorder="1" applyAlignment="1">
      <alignment horizontal="center" vertical="center" wrapText="1"/>
    </xf>
    <xf numFmtId="3" fontId="36" fillId="0" borderId="28" xfId="0" applyNumberFormat="1" applyFont="1" applyBorder="1" applyAlignment="1">
      <alignment horizontal="center" vertical="center" wrapText="1"/>
    </xf>
    <xf numFmtId="0" fontId="34" fillId="23" borderId="4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3" fontId="33" fillId="5" borderId="37" xfId="0" applyNumberFormat="1" applyFont="1" applyFill="1" applyBorder="1" applyAlignment="1">
      <alignment horizontal="center" vertical="center" wrapText="1"/>
    </xf>
    <xf numFmtId="3" fontId="33" fillId="25" borderId="37" xfId="0" applyNumberFormat="1" applyFont="1" applyFill="1" applyBorder="1" applyAlignment="1">
      <alignment horizontal="center" vertical="center" wrapText="1"/>
    </xf>
    <xf numFmtId="0" fontId="19" fillId="25" borderId="11" xfId="0" applyFont="1" applyFill="1" applyBorder="1" applyAlignment="1">
      <alignment horizontal="center" vertical="center" wrapText="1"/>
    </xf>
    <xf numFmtId="10" fontId="19" fillId="10" borderId="33" xfId="0" applyNumberFormat="1" applyFont="1" applyFill="1" applyBorder="1" applyAlignment="1">
      <alignment horizontal="center" vertical="center" wrapText="1"/>
    </xf>
    <xf numFmtId="10" fontId="19" fillId="5" borderId="34" xfId="4" applyNumberFormat="1" applyFont="1" applyFill="1" applyBorder="1" applyAlignment="1">
      <alignment horizontal="center" vertical="center" wrapText="1"/>
    </xf>
    <xf numFmtId="17" fontId="37" fillId="26" borderId="18" xfId="0" applyNumberFormat="1" applyFont="1" applyFill="1" applyBorder="1" applyAlignment="1">
      <alignment horizontal="center" vertical="center" wrapText="1"/>
    </xf>
    <xf numFmtId="0" fontId="37" fillId="26" borderId="19" xfId="0" applyFont="1" applyFill="1" applyBorder="1" applyAlignment="1">
      <alignment horizontal="center" vertical="center" wrapText="1"/>
    </xf>
    <xf numFmtId="0" fontId="37" fillId="26" borderId="20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7" fillId="27" borderId="48" xfId="0" applyFont="1" applyFill="1" applyBorder="1" applyAlignment="1">
      <alignment horizontal="center" vertical="center" wrapText="1"/>
    </xf>
    <xf numFmtId="0" fontId="37" fillId="27" borderId="56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28" borderId="48" xfId="0" applyFont="1" applyFill="1" applyBorder="1" applyAlignment="1">
      <alignment horizontal="center" vertical="center" wrapText="1"/>
    </xf>
    <xf numFmtId="3" fontId="40" fillId="28" borderId="56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3" fontId="42" fillId="0" borderId="0" xfId="0" applyNumberFormat="1" applyFont="1" applyAlignment="1">
      <alignment horizontal="center" vertical="center" wrapText="1"/>
    </xf>
    <xf numFmtId="0" fontId="43" fillId="0" borderId="48" xfId="0" applyFont="1" applyBorder="1" applyAlignment="1">
      <alignment horizontal="justify" vertical="center" wrapText="1"/>
    </xf>
    <xf numFmtId="3" fontId="44" fillId="0" borderId="56" xfId="0" applyNumberFormat="1" applyFont="1" applyBorder="1" applyAlignment="1">
      <alignment horizontal="center" vertical="center" wrapText="1"/>
    </xf>
    <xf numFmtId="10" fontId="17" fillId="0" borderId="0" xfId="3" applyNumberFormat="1" applyFont="1" applyAlignment="1">
      <alignment horizontal="justify" vertical="center" wrapText="1"/>
    </xf>
    <xf numFmtId="3" fontId="28" fillId="0" borderId="0" xfId="0" applyNumberFormat="1" applyFont="1" applyAlignment="1">
      <alignment horizontal="center" vertical="center" wrapText="1"/>
    </xf>
    <xf numFmtId="0" fontId="36" fillId="0" borderId="56" xfId="0" applyFont="1" applyBorder="1" applyAlignment="1">
      <alignment horizontal="center" vertical="center" wrapText="1"/>
    </xf>
    <xf numFmtId="10" fontId="7" fillId="0" borderId="0" xfId="3" applyNumberFormat="1" applyFont="1"/>
    <xf numFmtId="0" fontId="43" fillId="0" borderId="0" xfId="0" applyFont="1" applyAlignment="1">
      <alignment horizontal="justify" vertical="center" wrapText="1"/>
    </xf>
    <xf numFmtId="3" fontId="44" fillId="0" borderId="0" xfId="0" applyNumberFormat="1" applyFont="1" applyAlignment="1">
      <alignment horizontal="center" vertical="center" wrapText="1"/>
    </xf>
    <xf numFmtId="3" fontId="45" fillId="0" borderId="37" xfId="0" applyNumberFormat="1" applyFont="1" applyBorder="1" applyAlignment="1">
      <alignment horizontal="center" vertical="center"/>
    </xf>
    <xf numFmtId="3" fontId="46" fillId="0" borderId="37" xfId="0" applyNumberFormat="1" applyFont="1" applyBorder="1" applyAlignment="1">
      <alignment horizontal="center" vertical="center"/>
    </xf>
    <xf numFmtId="3" fontId="45" fillId="21" borderId="37" xfId="0" applyNumberFormat="1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4" fillId="29" borderId="3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178" fontId="4" fillId="21" borderId="3" xfId="4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3" fontId="47" fillId="5" borderId="3" xfId="0" applyNumberFormat="1" applyFont="1" applyFill="1" applyBorder="1" applyAlignment="1">
      <alignment horizontal="center" vertical="top" shrinkToFit="1"/>
    </xf>
    <xf numFmtId="3" fontId="47" fillId="5" borderId="3" xfId="0" applyNumberFormat="1" applyFont="1" applyFill="1" applyBorder="1" applyAlignment="1">
      <alignment horizontal="center" vertical="top"/>
    </xf>
    <xf numFmtId="0" fontId="47" fillId="5" borderId="3" xfId="0" applyFont="1" applyFill="1" applyBorder="1" applyAlignment="1">
      <alignment horizontal="center" vertical="top"/>
    </xf>
    <xf numFmtId="0" fontId="31" fillId="29" borderId="3" xfId="0" applyFont="1" applyFill="1" applyBorder="1" applyAlignment="1">
      <alignment horizontal="center" vertical="center" wrapText="1"/>
    </xf>
    <xf numFmtId="0" fontId="31" fillId="14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/>
    </xf>
    <xf numFmtId="3" fontId="25" fillId="0" borderId="0" xfId="0" applyNumberFormat="1" applyFont="1" applyAlignment="1">
      <alignment horizontal="right" vertical="top" wrapText="1"/>
    </xf>
    <xf numFmtId="0" fontId="25" fillId="0" borderId="3" xfId="0" applyFont="1" applyBorder="1" applyAlignment="1">
      <alignment horizontal="left" vertical="top" wrapText="1"/>
    </xf>
    <xf numFmtId="3" fontId="25" fillId="0" borderId="3" xfId="0" applyNumberFormat="1" applyFont="1" applyBorder="1" applyAlignment="1">
      <alignment horizontal="center" vertical="center" wrapText="1"/>
    </xf>
    <xf numFmtId="10" fontId="25" fillId="0" borderId="3" xfId="3" applyNumberFormat="1" applyFont="1" applyBorder="1" applyAlignment="1">
      <alignment horizontal="center" vertical="center" wrapText="1"/>
    </xf>
    <xf numFmtId="178" fontId="31" fillId="21" borderId="0" xfId="4" applyFont="1" applyFill="1" applyBorder="1" applyAlignment="1">
      <alignment horizontal="center" vertical="center"/>
    </xf>
    <xf numFmtId="0" fontId="28" fillId="0" borderId="0" xfId="0" applyFont="1"/>
    <xf numFmtId="9" fontId="17" fillId="0" borderId="3" xfId="0" applyNumberFormat="1" applyFont="1" applyBorder="1" applyAlignment="1">
      <alignment horizontal="center"/>
    </xf>
    <xf numFmtId="0" fontId="31" fillId="29" borderId="1" xfId="0" applyFont="1" applyFill="1" applyBorder="1" applyAlignment="1">
      <alignment horizontal="center" vertical="center" wrapText="1"/>
    </xf>
    <xf numFmtId="0" fontId="31" fillId="19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5" fillId="0" borderId="4" xfId="0" applyFont="1" applyBorder="1" applyAlignment="1">
      <alignment horizontal="left" vertical="top" wrapText="1"/>
    </xf>
    <xf numFmtId="183" fontId="0" fillId="0" borderId="3" xfId="0" applyNumberFormat="1" applyBorder="1" applyAlignment="1">
      <alignment horizontal="center"/>
    </xf>
    <xf numFmtId="0" fontId="25" fillId="0" borderId="5" xfId="0" applyFont="1" applyBorder="1" applyAlignment="1">
      <alignment horizontal="left" vertical="top" wrapText="1"/>
    </xf>
    <xf numFmtId="3" fontId="7" fillId="0" borderId="3" xfId="0" applyNumberFormat="1" applyFont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3" fontId="10" fillId="0" borderId="11" xfId="0" applyNumberFormat="1" applyFont="1" applyBorder="1" applyAlignment="1">
      <alignment horizontal="center" vertical="center" wrapText="1"/>
    </xf>
    <xf numFmtId="178" fontId="4" fillId="21" borderId="11" xfId="4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31" fillId="5" borderId="57" xfId="0" applyFont="1" applyFill="1" applyBorder="1" applyAlignment="1">
      <alignment horizontal="center" vertical="center" wrapText="1"/>
    </xf>
    <xf numFmtId="0" fontId="31" fillId="5" borderId="58" xfId="0" applyFont="1" applyFill="1" applyBorder="1" applyAlignment="1">
      <alignment horizontal="center" vertical="center" wrapText="1"/>
    </xf>
    <xf numFmtId="0" fontId="31" fillId="5" borderId="40" xfId="0" applyFont="1" applyFill="1" applyBorder="1" applyAlignment="1">
      <alignment horizontal="center" vertical="center" wrapText="1"/>
    </xf>
    <xf numFmtId="3" fontId="41" fillId="5" borderId="3" xfId="0" applyNumberFormat="1" applyFont="1" applyFill="1" applyBorder="1" applyAlignment="1">
      <alignment horizontal="center" vertical="top" shrinkToFit="1"/>
    </xf>
    <xf numFmtId="0" fontId="31" fillId="5" borderId="59" xfId="0" applyFont="1" applyFill="1" applyBorder="1" applyAlignment="1">
      <alignment horizontal="center" vertical="center" wrapText="1"/>
    </xf>
    <xf numFmtId="0" fontId="31" fillId="5" borderId="60" xfId="0" applyFont="1" applyFill="1" applyBorder="1" applyAlignment="1">
      <alignment horizontal="center" vertical="center" wrapText="1"/>
    </xf>
    <xf numFmtId="0" fontId="31" fillId="5" borderId="36" xfId="0" applyFont="1" applyFill="1" applyBorder="1" applyAlignment="1">
      <alignment horizontal="center" vertical="center" wrapText="1"/>
    </xf>
    <xf numFmtId="3" fontId="41" fillId="5" borderId="3" xfId="0" applyNumberFormat="1" applyFont="1" applyFill="1" applyBorder="1" applyAlignment="1">
      <alignment horizontal="center" vertical="top"/>
    </xf>
    <xf numFmtId="0" fontId="41" fillId="5" borderId="3" xfId="0" applyFont="1" applyFill="1" applyBorder="1" applyAlignment="1">
      <alignment horizontal="center" vertical="top"/>
    </xf>
    <xf numFmtId="3" fontId="48" fillId="21" borderId="0" xfId="0" applyNumberFormat="1" applyFont="1" applyFill="1" applyAlignment="1">
      <alignment horizontal="right" vertical="top" shrinkToFit="1"/>
    </xf>
    <xf numFmtId="3" fontId="48" fillId="0" borderId="0" xfId="0" applyNumberFormat="1" applyFont="1" applyAlignment="1">
      <alignment horizontal="right" vertical="top" shrinkToFit="1"/>
    </xf>
    <xf numFmtId="1" fontId="48" fillId="0" borderId="0" xfId="0" applyNumberFormat="1" applyFont="1" applyAlignment="1">
      <alignment horizontal="right" vertical="top" shrinkToFit="1"/>
    </xf>
    <xf numFmtId="0" fontId="25" fillId="0" borderId="40" xfId="0" applyFont="1" applyBorder="1" applyAlignment="1">
      <alignment horizontal="left" vertical="top" wrapText="1"/>
    </xf>
    <xf numFmtId="1" fontId="48" fillId="21" borderId="0" xfId="0" applyNumberFormat="1" applyFont="1" applyFill="1" applyAlignment="1">
      <alignment horizontal="right" vertical="top" shrinkToFit="1"/>
    </xf>
    <xf numFmtId="0" fontId="17" fillId="18" borderId="32" xfId="0" applyFont="1" applyFill="1" applyBorder="1" applyAlignment="1">
      <alignment horizontal="center" vertical="center"/>
    </xf>
    <xf numFmtId="0" fontId="17" fillId="18" borderId="33" xfId="0" applyFont="1" applyFill="1" applyBorder="1" applyAlignment="1">
      <alignment horizontal="center" vertical="center"/>
    </xf>
    <xf numFmtId="0" fontId="17" fillId="18" borderId="34" xfId="0" applyFont="1" applyFill="1" applyBorder="1" applyAlignment="1">
      <alignment horizontal="center" vertical="center"/>
    </xf>
    <xf numFmtId="0" fontId="31" fillId="23" borderId="61" xfId="0" applyFont="1" applyFill="1" applyBorder="1" applyAlignment="1">
      <alignment horizontal="center" vertical="center" wrapText="1"/>
    </xf>
    <xf numFmtId="0" fontId="31" fillId="23" borderId="12" xfId="0" applyFont="1" applyFill="1" applyBorder="1" applyAlignment="1">
      <alignment horizontal="center" vertical="center" wrapText="1"/>
    </xf>
    <xf numFmtId="0" fontId="31" fillId="15" borderId="12" xfId="0" applyFont="1" applyFill="1" applyBorder="1" applyAlignment="1">
      <alignment horizontal="center" vertical="center" wrapText="1"/>
    </xf>
    <xf numFmtId="0" fontId="31" fillId="22" borderId="6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3" fontId="25" fillId="0" borderId="2" xfId="0" applyNumberFormat="1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 wrapText="1"/>
    </xf>
    <xf numFmtId="1" fontId="0" fillId="0" borderId="0" xfId="0" applyNumberFormat="1"/>
    <xf numFmtId="3" fontId="25" fillId="0" borderId="11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top" wrapText="1"/>
    </xf>
    <xf numFmtId="3" fontId="25" fillId="0" borderId="6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0" fontId="31" fillId="30" borderId="63" xfId="0" applyFont="1" applyFill="1" applyBorder="1" applyAlignment="1">
      <alignment horizontal="right" vertical="center" wrapText="1"/>
    </xf>
    <xf numFmtId="0" fontId="31" fillId="30" borderId="37" xfId="0" applyFont="1" applyFill="1" applyBorder="1" applyAlignment="1">
      <alignment horizontal="right" vertical="center" wrapText="1"/>
    </xf>
    <xf numFmtId="3" fontId="31" fillId="30" borderId="64" xfId="2" applyNumberFormat="1" applyFont="1" applyFill="1" applyBorder="1" applyAlignment="1">
      <alignment horizontal="center" vertical="top" wrapText="1"/>
    </xf>
    <xf numFmtId="3" fontId="31" fillId="30" borderId="65" xfId="2" applyNumberFormat="1" applyFont="1" applyFill="1" applyBorder="1" applyAlignment="1">
      <alignment horizontal="center" vertical="top" wrapText="1"/>
    </xf>
    <xf numFmtId="0" fontId="31" fillId="30" borderId="5" xfId="0" applyFont="1" applyFill="1" applyBorder="1" applyAlignment="1">
      <alignment horizontal="right" vertical="center" wrapText="1"/>
    </xf>
    <xf numFmtId="0" fontId="31" fillId="30" borderId="13" xfId="0" applyFont="1" applyFill="1" applyBorder="1" applyAlignment="1">
      <alignment horizontal="right" vertical="center" wrapText="1"/>
    </xf>
    <xf numFmtId="3" fontId="17" fillId="30" borderId="52" xfId="0" applyNumberFormat="1" applyFont="1" applyFill="1" applyBorder="1" applyAlignment="1">
      <alignment horizontal="center"/>
    </xf>
    <xf numFmtId="0" fontId="17" fillId="30" borderId="56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left" vertical="top" wrapText="1"/>
    </xf>
    <xf numFmtId="0" fontId="25" fillId="15" borderId="2" xfId="0" applyFont="1" applyFill="1" applyBorder="1" applyAlignment="1">
      <alignment horizontal="left" vertical="top" wrapText="1"/>
    </xf>
    <xf numFmtId="3" fontId="25" fillId="15" borderId="2" xfId="0" applyNumberFormat="1" applyFont="1" applyFill="1" applyBorder="1" applyAlignment="1">
      <alignment horizontal="center" vertical="center" wrapText="1"/>
    </xf>
    <xf numFmtId="3" fontId="25" fillId="15" borderId="47" xfId="0" applyNumberFormat="1" applyFont="1" applyFill="1" applyBorder="1" applyAlignment="1">
      <alignment horizontal="center" vertical="center" wrapText="1"/>
    </xf>
    <xf numFmtId="0" fontId="25" fillId="15" borderId="5" xfId="0" applyFont="1" applyFill="1" applyBorder="1" applyAlignment="1">
      <alignment horizontal="left" vertical="top" wrapText="1"/>
    </xf>
    <xf numFmtId="0" fontId="25" fillId="15" borderId="6" xfId="0" applyFont="1" applyFill="1" applyBorder="1" applyAlignment="1">
      <alignment horizontal="left" vertical="top" wrapText="1"/>
    </xf>
    <xf numFmtId="3" fontId="25" fillId="15" borderId="6" xfId="0" applyNumberFormat="1" applyFont="1" applyFill="1" applyBorder="1" applyAlignment="1">
      <alignment horizontal="center" vertical="center" wrapText="1"/>
    </xf>
    <xf numFmtId="3" fontId="25" fillId="15" borderId="13" xfId="0" applyNumberFormat="1" applyFont="1" applyFill="1" applyBorder="1" applyAlignment="1">
      <alignment horizontal="center" vertical="center" wrapText="1"/>
    </xf>
    <xf numFmtId="0" fontId="49" fillId="5" borderId="18" xfId="0" applyFont="1" applyFill="1" applyBorder="1" applyAlignment="1">
      <alignment horizontal="center"/>
    </xf>
    <xf numFmtId="0" fontId="49" fillId="5" borderId="20" xfId="0" applyFont="1" applyFill="1" applyBorder="1" applyAlignment="1">
      <alignment horizontal="center"/>
    </xf>
    <xf numFmtId="3" fontId="49" fillId="5" borderId="19" xfId="0" applyNumberFormat="1" applyFont="1" applyFill="1" applyBorder="1" applyAlignment="1">
      <alignment horizontal="center"/>
    </xf>
    <xf numFmtId="0" fontId="31" fillId="23" borderId="1" xfId="0" applyFont="1" applyFill="1" applyBorder="1" applyAlignment="1">
      <alignment horizontal="center" vertical="center" wrapText="1"/>
    </xf>
    <xf numFmtId="0" fontId="31" fillId="15" borderId="47" xfId="0" applyFont="1" applyFill="1" applyBorder="1" applyAlignment="1">
      <alignment horizontal="center" vertical="center" wrapText="1"/>
    </xf>
    <xf numFmtId="1" fontId="48" fillId="0" borderId="3" xfId="0" applyNumberFormat="1" applyFont="1" applyBorder="1" applyAlignment="1">
      <alignment horizontal="center" vertical="top" shrinkToFit="1"/>
    </xf>
    <xf numFmtId="0" fontId="27" fillId="0" borderId="0" xfId="0" applyFont="1" applyAlignment="1">
      <alignment horizontal="left" vertical="top" wrapText="1"/>
    </xf>
    <xf numFmtId="1" fontId="50" fillId="0" borderId="0" xfId="0" applyNumberFormat="1" applyFont="1" applyAlignment="1">
      <alignment horizontal="right" vertical="top" shrinkToFit="1"/>
    </xf>
    <xf numFmtId="0" fontId="25" fillId="0" borderId="0" xfId="0" applyFont="1" applyAlignment="1">
      <alignment horizontal="left" vertical="top" wrapText="1"/>
    </xf>
    <xf numFmtId="1" fontId="41" fillId="0" borderId="3" xfId="0" applyNumberFormat="1" applyFont="1" applyBorder="1" applyAlignment="1">
      <alignment horizontal="center" vertical="top" shrinkToFit="1"/>
    </xf>
    <xf numFmtId="0" fontId="31" fillId="23" borderId="3" xfId="0" applyFont="1" applyFill="1" applyBorder="1" applyAlignment="1">
      <alignment horizontal="center" vertical="center" wrapText="1"/>
    </xf>
    <xf numFmtId="0" fontId="31" fillId="2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23" borderId="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9" fontId="26" fillId="0" borderId="0" xfId="3" applyFont="1" applyAlignment="1">
      <alignment vertical="top" shrinkToFit="1"/>
    </xf>
    <xf numFmtId="1" fontId="51" fillId="0" borderId="3" xfId="0" applyNumberFormat="1" applyFont="1" applyBorder="1" applyAlignment="1">
      <alignment horizontal="center" vertical="top" shrinkToFit="1"/>
    </xf>
    <xf numFmtId="1" fontId="26" fillId="0" borderId="0" xfId="0" applyNumberFormat="1" applyFont="1" applyAlignment="1">
      <alignment vertical="top" shrinkToFit="1"/>
    </xf>
    <xf numFmtId="1" fontId="2" fillId="0" borderId="3" xfId="0" applyNumberFormat="1" applyFont="1" applyBorder="1" applyAlignment="1">
      <alignment horizontal="center"/>
    </xf>
    <xf numFmtId="0" fontId="52" fillId="0" borderId="0" xfId="0" applyFont="1"/>
    <xf numFmtId="0" fontId="10" fillId="0" borderId="66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7" fillId="0" borderId="3" xfId="0" applyFont="1" applyBorder="1" applyAlignment="1">
      <alignment horizontal="center"/>
    </xf>
    <xf numFmtId="0" fontId="31" fillId="15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1" fontId="48" fillId="0" borderId="0" xfId="0" applyNumberFormat="1" applyFont="1" applyAlignment="1">
      <alignment horizontal="center" vertical="top" shrinkToFit="1"/>
    </xf>
    <xf numFmtId="0" fontId="7" fillId="5" borderId="3" xfId="0" applyFont="1" applyFill="1" applyBorder="1" applyAlignment="1">
      <alignment horizontal="center"/>
    </xf>
    <xf numFmtId="0" fontId="31" fillId="16" borderId="7" xfId="0" applyFont="1" applyFill="1" applyBorder="1" applyAlignment="1">
      <alignment horizontal="center" vertical="center" wrapText="1"/>
    </xf>
    <xf numFmtId="0" fontId="31" fillId="16" borderId="8" xfId="0" applyFont="1" applyFill="1" applyBorder="1" applyAlignment="1">
      <alignment horizontal="center" vertical="center" wrapText="1"/>
    </xf>
    <xf numFmtId="0" fontId="31" fillId="16" borderId="9" xfId="0" applyFont="1" applyFill="1" applyBorder="1" applyAlignment="1">
      <alignment horizontal="center" vertical="center" wrapText="1"/>
    </xf>
    <xf numFmtId="0" fontId="31" fillId="31" borderId="3" xfId="0" applyFont="1" applyFill="1" applyBorder="1" applyAlignment="1">
      <alignment horizontal="center" vertical="center" wrapText="1"/>
    </xf>
    <xf numFmtId="0" fontId="31" fillId="24" borderId="3" xfId="0" applyFont="1" applyFill="1" applyBorder="1" applyAlignment="1">
      <alignment horizontal="center" vertical="center" wrapText="1"/>
    </xf>
    <xf numFmtId="3" fontId="48" fillId="0" borderId="3" xfId="0" applyNumberFormat="1" applyFont="1" applyBorder="1" applyAlignment="1">
      <alignment horizontal="center" vertical="center"/>
    </xf>
    <xf numFmtId="3" fontId="28" fillId="0" borderId="3" xfId="0" applyNumberFormat="1" applyFont="1" applyBorder="1" applyAlignment="1">
      <alignment horizontal="center"/>
    </xf>
    <xf numFmtId="3" fontId="48" fillId="0" borderId="3" xfId="0" applyNumberFormat="1" applyFont="1" applyBorder="1" applyAlignment="1">
      <alignment horizontal="center" vertical="center" shrinkToFit="1"/>
    </xf>
    <xf numFmtId="0" fontId="48" fillId="0" borderId="3" xfId="0" applyFont="1" applyBorder="1" applyAlignment="1">
      <alignment horizontal="center" vertical="center"/>
    </xf>
    <xf numFmtId="0" fontId="31" fillId="32" borderId="3" xfId="0" applyFont="1" applyFill="1" applyBorder="1" applyAlignment="1">
      <alignment horizontal="left" vertical="top" wrapText="1"/>
    </xf>
    <xf numFmtId="3" fontId="31" fillId="32" borderId="3" xfId="2" applyNumberFormat="1" applyFont="1" applyFill="1" applyBorder="1" applyAlignment="1">
      <alignment horizontal="center" vertical="top" wrapText="1"/>
    </xf>
    <xf numFmtId="0" fontId="0" fillId="21" borderId="0" xfId="0" applyFill="1"/>
    <xf numFmtId="3" fontId="31" fillId="33" borderId="3" xfId="2" applyNumberFormat="1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3" fontId="17" fillId="29" borderId="3" xfId="0" applyNumberFormat="1" applyFont="1" applyFill="1" applyBorder="1" applyAlignment="1">
      <alignment horizontal="center"/>
    </xf>
    <xf numFmtId="0" fontId="17" fillId="29" borderId="3" xfId="0" applyFont="1" applyFill="1" applyBorder="1" applyAlignment="1">
      <alignment horizontal="center"/>
    </xf>
    <xf numFmtId="3" fontId="41" fillId="0" borderId="3" xfId="0" applyNumberFormat="1" applyFont="1" applyBorder="1" applyAlignment="1">
      <alignment horizontal="center" vertical="center" shrinkToFit="1"/>
    </xf>
    <xf numFmtId="0" fontId="34" fillId="21" borderId="0" xfId="0" applyFont="1" applyFill="1" applyAlignment="1">
      <alignment horizontal="left" vertical="center" wrapText="1"/>
    </xf>
    <xf numFmtId="0" fontId="34" fillId="21" borderId="0" xfId="0" applyFont="1" applyFill="1" applyAlignment="1">
      <alignment horizontal="left" vertical="center" wrapText="1" indent="1"/>
    </xf>
    <xf numFmtId="0" fontId="27" fillId="21" borderId="0" xfId="0" applyFont="1" applyFill="1" applyAlignment="1">
      <alignment horizontal="left" vertical="top" wrapText="1"/>
    </xf>
    <xf numFmtId="0" fontId="27" fillId="21" borderId="0" xfId="0" applyFont="1" applyFill="1" applyAlignment="1">
      <alignment horizontal="right" vertical="top" wrapText="1"/>
    </xf>
    <xf numFmtId="3" fontId="50" fillId="21" borderId="0" xfId="0" applyNumberFormat="1" applyFont="1" applyFill="1" applyAlignment="1">
      <alignment horizontal="right" vertical="top" shrinkToFit="1"/>
    </xf>
    <xf numFmtId="0" fontId="4" fillId="34" borderId="3" xfId="0" applyFont="1" applyFill="1" applyBorder="1" applyAlignment="1">
      <alignment horizontal="center" vertical="center" wrapText="1"/>
    </xf>
    <xf numFmtId="0" fontId="31" fillId="16" borderId="1" xfId="0" applyFont="1" applyFill="1" applyBorder="1" applyAlignment="1">
      <alignment horizontal="center" vertical="center" wrapText="1"/>
    </xf>
    <xf numFmtId="0" fontId="31" fillId="16" borderId="2" xfId="0" applyFont="1" applyFill="1" applyBorder="1" applyAlignment="1">
      <alignment horizontal="center" vertical="center" wrapText="1"/>
    </xf>
    <xf numFmtId="0" fontId="31" fillId="16" borderId="47" xfId="0" applyFont="1" applyFill="1" applyBorder="1" applyAlignment="1">
      <alignment horizontal="center" vertical="center" wrapText="1"/>
    </xf>
    <xf numFmtId="0" fontId="31" fillId="31" borderId="4" xfId="0" applyFont="1" applyFill="1" applyBorder="1" applyAlignment="1">
      <alignment horizontal="center" vertical="center" wrapText="1"/>
    </xf>
    <xf numFmtId="0" fontId="31" fillId="24" borderId="11" xfId="0" applyFont="1" applyFill="1" applyBorder="1" applyAlignment="1">
      <alignment horizontal="center" vertical="center" wrapText="1"/>
    </xf>
    <xf numFmtId="3" fontId="48" fillId="0" borderId="10" xfId="0" applyNumberFormat="1" applyFont="1" applyBorder="1" applyAlignment="1">
      <alignment horizontal="center" vertical="center" shrinkToFit="1"/>
    </xf>
    <xf numFmtId="3" fontId="28" fillId="0" borderId="11" xfId="0" applyNumberFormat="1" applyFont="1" applyBorder="1" applyAlignment="1">
      <alignment horizontal="center"/>
    </xf>
    <xf numFmtId="3" fontId="48" fillId="0" borderId="11" xfId="0" applyNumberFormat="1" applyFont="1" applyBorder="1" applyAlignment="1">
      <alignment horizontal="center" vertical="center" shrinkToFit="1"/>
    </xf>
    <xf numFmtId="0" fontId="31" fillId="32" borderId="15" xfId="0" applyFont="1" applyFill="1" applyBorder="1" applyAlignment="1">
      <alignment horizontal="left" vertical="top" wrapText="1"/>
    </xf>
    <xf numFmtId="3" fontId="31" fillId="32" borderId="10" xfId="2" applyNumberFormat="1" applyFont="1" applyFill="1" applyBorder="1" applyAlignment="1">
      <alignment horizontal="center" vertical="top" wrapText="1"/>
    </xf>
    <xf numFmtId="3" fontId="31" fillId="32" borderId="16" xfId="2" applyNumberFormat="1" applyFont="1" applyFill="1" applyBorder="1" applyAlignment="1">
      <alignment horizontal="center" vertical="top" wrapText="1"/>
    </xf>
    <xf numFmtId="3" fontId="0" fillId="0" borderId="0" xfId="0" applyNumberFormat="1" applyAlignment="1">
      <alignment horizontal="center"/>
    </xf>
    <xf numFmtId="0" fontId="31" fillId="31" borderId="1" xfId="0" applyFont="1" applyFill="1" applyBorder="1" applyAlignment="1">
      <alignment horizontal="center" vertical="center" wrapText="1"/>
    </xf>
    <xf numFmtId="0" fontId="25" fillId="0" borderId="61" xfId="0" applyFont="1" applyBorder="1" applyAlignment="1">
      <alignment horizontal="left" vertical="top" wrapText="1"/>
    </xf>
    <xf numFmtId="0" fontId="31" fillId="32" borderId="32" xfId="0" applyFont="1" applyFill="1" applyBorder="1" applyAlignment="1">
      <alignment horizontal="left" vertical="top" wrapText="1"/>
    </xf>
    <xf numFmtId="0" fontId="4" fillId="24" borderId="47" xfId="0" applyFont="1" applyFill="1" applyBorder="1" applyAlignment="1">
      <alignment horizontal="center" vertical="center" wrapText="1"/>
    </xf>
    <xf numFmtId="3" fontId="41" fillId="0" borderId="16" xfId="0" applyNumberFormat="1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left" vertical="top" wrapText="1"/>
    </xf>
    <xf numFmtId="0" fontId="31" fillId="32" borderId="5" xfId="0" applyFont="1" applyFill="1" applyBorder="1" applyAlignment="1">
      <alignment horizontal="left" vertical="top" wrapText="1"/>
    </xf>
    <xf numFmtId="3" fontId="31" fillId="32" borderId="13" xfId="2" applyNumberFormat="1" applyFont="1" applyFill="1" applyBorder="1" applyAlignment="1">
      <alignment horizontal="center" vertical="top" wrapText="1"/>
    </xf>
  </cellXfs>
  <cellStyles count="62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EstiloLabel" xfId="49"/>
    <cellStyle name="Millares [0] 2" xfId="50"/>
    <cellStyle name="Millares [0] 3" xfId="51"/>
    <cellStyle name="Millares [0] 4" xfId="52"/>
    <cellStyle name="Moneda [0] 2" xfId="53"/>
    <cellStyle name="Moneda 2" xfId="54"/>
    <cellStyle name="Moneda 3" xfId="55"/>
    <cellStyle name="Moneda 4" xfId="56"/>
    <cellStyle name="Moneda 5" xfId="57"/>
    <cellStyle name="Moneda 6" xfId="58"/>
    <cellStyle name="Moneda 7" xfId="59"/>
    <cellStyle name="Normal 10" xfId="60"/>
    <cellStyle name="SinEstilo" xfId="6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LLEGADOS POR AEROLINEA</a:t>
            </a:r>
            <a:endParaRPr lang="es-CO"/>
          </a:p>
        </c:rich>
      </c:tx>
      <c:layout>
        <c:manualLayout>
          <c:xMode val="edge"/>
          <c:yMode val="edge"/>
          <c:x val="0.099056039175965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0369838527878196"/>
          <c:y val="0.277802185902081"/>
          <c:w val="0.945426361918929"/>
          <c:h val="0.688988588553846"/>
        </c:manualLayout>
      </c:layout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0.0528139282678008"/>
                  <c:y val="0.165143876832981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275550930092874"/>
                  <c:y val="0.17326570684116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37775465046437"/>
                  <c:y val="-0.0297800433633244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40071722797211"/>
                  <c:y val="-0.040609150040897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0987390832832797"/>
                  <c:y val="-0.0297800433633244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66365899089778"/>
                  <c:y val="-0.00812183000817939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574064437693487"/>
                  <c:y val="-0.06226736339604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70AD47"/>
                </a:solidFill>
                <a:miter lim="800000"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'ESTADISTICAS AEROLINEAS '!$B$52:$B$58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AVIACIÓN GENERAL</c:v>
                </c:pt>
                <c:pt idx="5">
                  <c:v>AVIACIÓN ESTATAL</c:v>
                </c:pt>
                <c:pt idx="6">
                  <c:v>COPA</c:v>
                </c:pt>
              </c:strCache>
            </c:strRef>
          </c:cat>
          <c:val>
            <c:numRef>
              <c:f>'ESTADISTICAS AEROLINEAS '!$C$52:$C$58</c:f>
              <c:numCache>
                <c:formatCode>#,##0</c:formatCode>
                <c:ptCount val="7"/>
                <c:pt idx="0">
                  <c:v>27563</c:v>
                </c:pt>
                <c:pt idx="1">
                  <c:v>9361</c:v>
                </c:pt>
                <c:pt idx="2">
                  <c:v>6141</c:v>
                </c:pt>
                <c:pt idx="3">
                  <c:v>1557</c:v>
                </c:pt>
                <c:pt idx="4">
                  <c:v>57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170ab4fe-0e8e-4266-82fb-4cc2a5c9df73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INTERNACIONALES POR PROCEDENCIA</a:t>
            </a:r>
            <a:endParaRPr lang="es-CO"/>
          </a:p>
        </c:rich>
      </c:tx>
      <c:layout>
        <c:manualLayout>
          <c:xMode val="edge"/>
          <c:yMode val="edge"/>
          <c:x val="0.183739640870343"/>
          <c:y val="0.047642304580642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tx>
            <c:strRef>
              <c:f>'DESTINO Y PROCE '!$C$47</c:f>
              <c:strCache>
                <c:ptCount val="1"/>
                <c:pt idx="0">
                  <c:v>PAX. INTERNACIONALES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0.0379839879633511"/>
                  <c:y val="0.070861366129426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9ad7125-ee6d-4e9b-bdb4-9c065409219f}" type="CATEGORYNAME">
                      <a:t>[CATEGORY NAME]</a:t>
                    </a:fld>
                    <a:endParaRPr lang="en-US" sz="11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65192592365834"/>
                  <c:y val="0.003550851836187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e26af2f-d23e-4b25-afa3-49e5e8194cf1}" type="CATEGORYNAME">
                      <a:t>[CATEGORY NAME]</a:t>
                    </a:fld>
                    <a:endParaRPr lang="en-US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</a:endParaRPr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388583237911724"/>
                  <c:y val="0.0141862991699083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2654508975586"/>
                      <c:h val="0.13186805829110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'!$B$48:$B$50</c:f>
              <c:strCache>
                <c:ptCount val="3"/>
                <c:pt idx="0">
                  <c:v>PANAMA</c:v>
                </c:pt>
                <c:pt idx="1">
                  <c:v>NEW YORK</c:v>
                </c:pt>
                <c:pt idx="2">
                  <c:v>OTROS DESTINOS</c:v>
                </c:pt>
              </c:strCache>
            </c:strRef>
          </c:cat>
          <c:val>
            <c:numRef>
              <c:f>'DESTINO Y PROCE '!$C$48:$C$50</c:f>
              <c:numCache>
                <c:formatCode>#,##0</c:formatCode>
                <c:ptCount val="3"/>
                <c:pt idx="0">
                  <c:v>4310</c:v>
                </c:pt>
                <c:pt idx="1">
                  <c:v>845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4c3ea6d1-559c-4675-8598-799d91c179db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OPERACIONES COMERCIALES NACIONALES E INTERNACIONALES POR DESTINO Y PROCEDENCIA</a:t>
            </a:r>
            <a:endParaRPr lang="es-CO" sz="1200" b="1"/>
          </a:p>
        </c:rich>
      </c:tx>
      <c:layout>
        <c:manualLayout>
          <c:xMode val="edge"/>
          <c:yMode val="edge"/>
          <c:x val="0.146186155546468"/>
          <c:y val="0.020670888329391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98819846350422"/>
          <c:y val="0.137708469121698"/>
          <c:w val="0.676123498727808"/>
          <c:h val="0.687547232977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s-MX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'!$B$154:$B$160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'!$C$154:$C$160</c:f>
              <c:numCache>
                <c:formatCode>#,##0</c:formatCode>
                <c:ptCount val="7"/>
                <c:pt idx="0">
                  <c:v>313</c:v>
                </c:pt>
                <c:pt idx="1">
                  <c:v>134</c:v>
                </c:pt>
                <c:pt idx="2">
                  <c:v>166</c:v>
                </c:pt>
                <c:pt idx="3">
                  <c:v>72</c:v>
                </c:pt>
                <c:pt idx="4">
                  <c:v>64</c:v>
                </c:pt>
                <c:pt idx="5">
                  <c:v>385</c:v>
                </c:pt>
                <c:pt idx="6">
                  <c:v>186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5716464"/>
        <c:axId val="575717448"/>
      </c:barChart>
      <c:catAx>
        <c:axId val="57571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75717448"/>
        <c:crosses val="autoZero"/>
        <c:auto val="1"/>
        <c:lblAlgn val="ctr"/>
        <c:lblOffset val="100"/>
        <c:noMultiLvlLbl val="0"/>
      </c:catAx>
      <c:valAx>
        <c:axId val="575717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75716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ebab93e6-4c3f-42a3-a4c8-8989574e362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 b="0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baseline="0">
                <a:solidFill>
                  <a:sysClr val="windowText" lastClr="000000"/>
                </a:solidFill>
                <a:effectLst/>
              </a:rPr>
              <a:t>OPERACIONES COMERCIALES NACIONALES E INTERNACIONALES POR DESTINO Y PROCEDENCIA DICIEMBRE 2025</a:t>
            </a:r>
            <a:endParaRPr lang="es-CO" sz="9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42990604883651"/>
          <c:y val="0.018987286351916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50383475358683"/>
          <c:y val="0.122035382450579"/>
          <c:w val="0.5607137275188"/>
          <c:h val="0.776421492853585"/>
        </c:manualLayout>
      </c:layout>
      <c:pieChart>
        <c:varyColors val="1"/>
        <c:ser>
          <c:idx val="0"/>
          <c:order val="0"/>
          <c:tx>
            <c:strRef>
              <c:f>'DESTINO Y PROCE '!$C$153</c:f>
              <c:strCache>
                <c:ptCount val="1"/>
                <c:pt idx="0">
                  <c:v>DESTINO Y PROCEDENCIA</c:v>
                </c:pt>
              </c:strCache>
            </c:strRef>
          </c:tx>
          <c:spPr/>
          <c:explosion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0330237044698495"/>
                  <c:y val="-0.10865416600344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pPr>
                      <a:defRPr lang="es-MX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9ba2318-bf0f-478e-9f2e-0704b7965388}" type="CATEGORYNAME">
                      <a:t>[CATEGORY NAME]</a:t>
                    </a:fld>
                    <a:endParaRPr lang="en-US" sz="1200" b="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761410458134818"/>
                  <c:y val="-0.05578613972364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lang="es-MX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8e8cd54-58d5-4ea9-a837-a137ea543941}" type="CATEGORYNAME">
                      <a:t>[CATEGORY NAME]</a:t>
                    </a:fld>
                    <a:endParaRPr lang="en-US" sz="900" b="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MX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0748261684436767"/>
                      <c:h val="0.116932320851415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0.0908533551427866"/>
                  <c:y val="0.057378021105631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pPr>
                      <a:defRPr lang="es-MX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f62cdcc-8c20-43b3-ba1f-3179898bbf58}" type="CATEGORYNAME">
                      <a:t>[CATEGORY NAME]</a:t>
                    </a:fld>
                    <a:endParaRPr lang="en-US" sz="900" b="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017689410194059"/>
                  <c:y val="0.1345950278839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pPr>
                      <a:defRPr lang="es-MX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6edd8-8b10-4d45-8a3d-761616680e8e}" type="CATEGORYNAME">
                      <a:t>[CATEGORY NAME]</a:t>
                    </a:fld>
                    <a:endParaRPr lang="en-US" sz="900" b="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230489750558411"/>
                  <c:y val="0.10024619437632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pPr>
                      <a:defRPr lang="es-MX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306201d-4899-45bf-be6b-e17435f292a3}" type="CATEGORYNAME">
                      <a:t>[CATEGORY NAME]</a:t>
                    </a:fld>
                    <a:endParaRPr lang="en-US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MX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0759627213010134"/>
                      <c:h val="0.0725561419444495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0.0409904309203408"/>
                  <c:y val="-1.1095934011418e-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'!$B$154:$B$160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'!$C$154:$C$160</c:f>
              <c:numCache>
                <c:formatCode>#,##0</c:formatCode>
                <c:ptCount val="7"/>
                <c:pt idx="0">
                  <c:v>313</c:v>
                </c:pt>
                <c:pt idx="1">
                  <c:v>134</c:v>
                </c:pt>
                <c:pt idx="2">
                  <c:v>166</c:v>
                </c:pt>
                <c:pt idx="3">
                  <c:v>72</c:v>
                </c:pt>
                <c:pt idx="4">
                  <c:v>64</c:v>
                </c:pt>
                <c:pt idx="5">
                  <c:v>385</c:v>
                </c:pt>
                <c:pt idx="6">
                  <c:v>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a7e78a78-47da-4b8f-91f2-583dfac0e2ea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NACIONALES POR DESTINO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246303266547127"/>
          <c:y val="0.121094878544586"/>
          <c:w val="0.680028533562018"/>
          <c:h val="0.878905121455414"/>
        </c:manualLayout>
      </c:layout>
      <c:pie3D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04950495049505"/>
                  <c:y val="-0.008465607525103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'!$B$87:$B$92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'!$C$87:$C$92</c:f>
              <c:numCache>
                <c:formatCode>#,##0</c:formatCode>
                <c:ptCount val="6"/>
                <c:pt idx="0">
                  <c:v>27792</c:v>
                </c:pt>
                <c:pt idx="1">
                  <c:v>2113</c:v>
                </c:pt>
                <c:pt idx="2">
                  <c:v>3082</c:v>
                </c:pt>
                <c:pt idx="3">
                  <c:v>2982</c:v>
                </c:pt>
                <c:pt idx="4">
                  <c:v>1389</c:v>
                </c:pt>
                <c:pt idx="5">
                  <c:v>13</c:v>
                </c:pt>
              </c:numCache>
            </c:numRef>
          </c:val>
        </c:ser>
        <c:ser>
          <c:idx val="1"/>
          <c:order val="1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684a320-4f20-4097-87ae-70a1438a19fc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56e1287-561d-4453-953b-525d4d42f31c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bb185f1-20c6-454f-893d-e5e3361514f2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ea678a5-2851-442f-a8fe-81a6108bbaf2}" type="CATEGORYNAME">
                      <a:t>[CATEGORY NAME]</a:t>
                    </a:fld>
                    <a:endParaRPr lang="en-US" baseline="0"/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c502087-3116-420c-945f-10823af69978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'!$B$87:$B$92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'!$D$87:$D$92</c:f>
              <c:numCache>
                <c:formatCode>0.00%</c:formatCode>
                <c:ptCount val="6"/>
                <c:pt idx="0">
                  <c:v>0.743678253190977</c:v>
                </c:pt>
                <c:pt idx="1">
                  <c:v>0.056541168285569</c:v>
                </c:pt>
                <c:pt idx="2">
                  <c:v>0.082470364721308</c:v>
                </c:pt>
                <c:pt idx="3">
                  <c:v>0.079794493056113</c:v>
                </c:pt>
                <c:pt idx="4">
                  <c:v>0.0371678574295577</c:v>
                </c:pt>
                <c:pt idx="5">
                  <c:v>0.000347863316475342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b934d987-bca5-42b2-bfda-754ff9f8ced0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POR DESTINO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1"/>
          <c:order val="0"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0.0424669982102"/>
                  <c:y val="-0.0851114347068921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637004973152999"/>
                  <c:y val="0.139826167793029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3801774418315"/>
                  <c:y val="0.018238164580048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9b3ea78-bad5-4e8d-a78a-f905ec748ba2}" type="CATEGORYNAME">
                      <a:t>[CATEGORY NAME]</a:t>
                    </a:fld>
                    <a:endParaRPr lang="en-US" baseline="0">
                      <a:solidFill>
                        <a:schemeClr val="accent2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ED7D31"/>
                </a:solidFill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'!$B$96:$B$99</c15:sqref>
                  </c15:fullRef>
                </c:ext>
              </c:extLst>
              <c:f>('DESTINO Y PROCE '!$B$96,'DESTINO Y PROCE '!$B$98:$B$99)</c:f>
              <c:strCache>
                <c:ptCount val="3"/>
                <c:pt idx="0">
                  <c:v>PANAMA</c:v>
                </c:pt>
                <c:pt idx="1">
                  <c:v>BOGOTA</c:v>
                </c:pt>
                <c:pt idx="2">
                  <c:v>OTROS DESTINOS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'!$D$96:$D$99</c15:sqref>
                  </c15:fullRef>
                </c:ext>
              </c:extLst>
              <c:f>('DESTINO Y PROCE '!$D$96,'DESTINO Y PROCE '!$D$98:$D$99)</c:f>
              <c:numCache>
                <c:formatCode>0.0%</c:formatCode>
                <c:ptCount val="3"/>
                <c:pt idx="0">
                  <c:v>0.387988179857839</c:v>
                </c:pt>
                <c:pt idx="1">
                  <c:v>0.516572158773261</c:v>
                </c:pt>
                <c:pt idx="2">
                  <c:v>0.0289912946250299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cf2486ef-04d5-45a6-8793-4ca3275c4eb8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7" charset="0"/>
                <a:cs typeface="Arial" panose="020B0604020202020204" pitchFamily="7" charset="0"/>
              </a:rPr>
              <a:t>COMPARATIVO OPERACIÓN ANUAL DESTINO Y PROCEDENCIA 2016 - 2026</a:t>
            </a:r>
            <a:endParaRPr lang="es-CO" sz="12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'!$C$3:$C$15</c:f>
              <c:numCache>
                <c:formatCode>General</c:formatCode>
                <c:ptCount val="13"/>
                <c:pt idx="0">
                  <c:v>2016</c:v>
                </c:pt>
                <c:pt idx="1" c:formatCode="#,##0">
                  <c:v>1727</c:v>
                </c:pt>
                <c:pt idx="2" c:formatCode="#,##0">
                  <c:v>1809</c:v>
                </c:pt>
                <c:pt idx="3" c:formatCode="#,##0">
                  <c:v>1740</c:v>
                </c:pt>
                <c:pt idx="4" c:formatCode="#,##0">
                  <c:v>1678</c:v>
                </c:pt>
                <c:pt idx="5" c:formatCode="#,##0">
                  <c:v>1583</c:v>
                </c:pt>
                <c:pt idx="6" c:formatCode="#,##0">
                  <c:v>1721</c:v>
                </c:pt>
                <c:pt idx="7" c:formatCode="#,##0">
                  <c:v>1748</c:v>
                </c:pt>
                <c:pt idx="8" c:formatCode="#,##0">
                  <c:v>1919</c:v>
                </c:pt>
                <c:pt idx="9" c:formatCode="#,##0">
                  <c:v>1857</c:v>
                </c:pt>
                <c:pt idx="10" c:formatCode="#,##0">
                  <c:v>1920</c:v>
                </c:pt>
                <c:pt idx="11" c:formatCode="#,##0">
                  <c:v>1737</c:v>
                </c:pt>
                <c:pt idx="12" c:formatCode="#,##0">
                  <c:v>1873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'!$D$3:$D$15</c:f>
              <c:numCache>
                <c:formatCode>General</c:formatCode>
                <c:ptCount val="13"/>
                <c:pt idx="0">
                  <c:v>2017</c:v>
                </c:pt>
                <c:pt idx="1" c:formatCode="#,##0">
                  <c:v>1818</c:v>
                </c:pt>
                <c:pt idx="2" c:formatCode="#,##0">
                  <c:v>1594</c:v>
                </c:pt>
                <c:pt idx="3" c:formatCode="#,##0">
                  <c:v>1763</c:v>
                </c:pt>
                <c:pt idx="4" c:formatCode="#,##0">
                  <c:v>1688</c:v>
                </c:pt>
                <c:pt idx="5" c:formatCode="#,##0">
                  <c:v>1772</c:v>
                </c:pt>
                <c:pt idx="6" c:formatCode="#,##0">
                  <c:v>1822</c:v>
                </c:pt>
                <c:pt idx="7" c:formatCode="#,##0">
                  <c:v>1863</c:v>
                </c:pt>
                <c:pt idx="8" c:formatCode="#,##0">
                  <c:v>2036</c:v>
                </c:pt>
                <c:pt idx="9" c:formatCode="#,##0">
                  <c:v>1414</c:v>
                </c:pt>
                <c:pt idx="10" c:formatCode="#,##0">
                  <c:v>1541</c:v>
                </c:pt>
                <c:pt idx="11" c:formatCode="#,##0">
                  <c:v>2158</c:v>
                </c:pt>
                <c:pt idx="12" c:formatCode="#,##0">
                  <c:v>2431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'!$E$3:$E$15</c:f>
              <c:numCache>
                <c:formatCode>General</c:formatCode>
                <c:ptCount val="13"/>
                <c:pt idx="0">
                  <c:v>2018</c:v>
                </c:pt>
                <c:pt idx="1" c:formatCode="#,##0">
                  <c:v>2399</c:v>
                </c:pt>
                <c:pt idx="2" c:formatCode="#,##0">
                  <c:v>2287</c:v>
                </c:pt>
                <c:pt idx="3" c:formatCode="#,##0">
                  <c:v>2327</c:v>
                </c:pt>
                <c:pt idx="4" c:formatCode="#,##0">
                  <c:v>2096</c:v>
                </c:pt>
                <c:pt idx="5" c:formatCode="#,##0">
                  <c:v>2249</c:v>
                </c:pt>
                <c:pt idx="6" c:formatCode="#,##0">
                  <c:v>2153</c:v>
                </c:pt>
                <c:pt idx="7" c:formatCode="#,##0">
                  <c:v>2164</c:v>
                </c:pt>
                <c:pt idx="8" c:formatCode="#,##0">
                  <c:v>2719</c:v>
                </c:pt>
                <c:pt idx="9" c:formatCode="#,##0">
                  <c:v>2257</c:v>
                </c:pt>
                <c:pt idx="10" c:formatCode="#,##0">
                  <c:v>2298</c:v>
                </c:pt>
                <c:pt idx="11" c:formatCode="#,##0">
                  <c:v>2294</c:v>
                </c:pt>
                <c:pt idx="12" c:formatCode="#,##0">
                  <c:v>2450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'!$F$3:$F$15</c:f>
              <c:numCache>
                <c:formatCode>General</c:formatCode>
                <c:ptCount val="13"/>
                <c:pt idx="0">
                  <c:v>2019</c:v>
                </c:pt>
                <c:pt idx="1" c:formatCode="#,##0">
                  <c:v>2241</c:v>
                </c:pt>
                <c:pt idx="2" c:formatCode="#,##0">
                  <c:v>2053</c:v>
                </c:pt>
                <c:pt idx="3" c:formatCode="#,##0">
                  <c:v>2123</c:v>
                </c:pt>
                <c:pt idx="4" c:formatCode="#,##0">
                  <c:v>2020</c:v>
                </c:pt>
                <c:pt idx="5" c:formatCode="#,##0">
                  <c:v>2076</c:v>
                </c:pt>
                <c:pt idx="6" c:formatCode="#,##0">
                  <c:v>1938</c:v>
                </c:pt>
                <c:pt idx="7" c:formatCode="#,##0">
                  <c:v>2244</c:v>
                </c:pt>
                <c:pt idx="8" c:formatCode="#,##0">
                  <c:v>2475</c:v>
                </c:pt>
                <c:pt idx="9" c:formatCode="#,##0">
                  <c:v>2049</c:v>
                </c:pt>
                <c:pt idx="10" c:formatCode="#,##0">
                  <c:v>2382</c:v>
                </c:pt>
                <c:pt idx="11" c:formatCode="#,##0">
                  <c:v>2186</c:v>
                </c:pt>
                <c:pt idx="12" c:formatCode="#,##0">
                  <c:v>2342</c:v>
                </c:pt>
              </c:numCache>
            </c:numRef>
          </c:val>
          <c:smooth val="0"/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'!$G$3:$G$15</c:f>
              <c:numCache>
                <c:formatCode>General</c:formatCode>
                <c:ptCount val="13"/>
                <c:pt idx="0">
                  <c:v>2020</c:v>
                </c:pt>
                <c:pt idx="1" c:formatCode="#,##0">
                  <c:v>2333</c:v>
                </c:pt>
                <c:pt idx="2" c:formatCode="#,##0">
                  <c:v>2061</c:v>
                </c:pt>
                <c:pt idx="3" c:formatCode="#,##0">
                  <c:v>1476</c:v>
                </c:pt>
                <c:pt idx="4" c:formatCode="#,##0">
                  <c:v>60</c:v>
                </c:pt>
                <c:pt idx="5" c:formatCode="#,##0">
                  <c:v>123</c:v>
                </c:pt>
                <c:pt idx="6" c:formatCode="#,##0">
                  <c:v>241</c:v>
                </c:pt>
                <c:pt idx="7" c:formatCode="#,##0">
                  <c:v>292</c:v>
                </c:pt>
                <c:pt idx="8" c:formatCode="#,##0">
                  <c:v>335</c:v>
                </c:pt>
                <c:pt idx="9" c:formatCode="#,##0">
                  <c:v>777</c:v>
                </c:pt>
                <c:pt idx="10" c:formatCode="#,##0">
                  <c:v>956</c:v>
                </c:pt>
                <c:pt idx="11" c:formatCode="#,##0">
                  <c:v>978</c:v>
                </c:pt>
                <c:pt idx="12" c:formatCode="#,##0">
                  <c:v>1308</c:v>
                </c:pt>
              </c:numCache>
            </c:numRef>
          </c:val>
          <c:smooth val="0"/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'!$H$3:$H$15</c:f>
              <c:numCache>
                <c:formatCode>General</c:formatCode>
                <c:ptCount val="13"/>
                <c:pt idx="0">
                  <c:v>2021</c:v>
                </c:pt>
                <c:pt idx="1" c:formatCode="#,##0">
                  <c:v>1418</c:v>
                </c:pt>
                <c:pt idx="2" c:formatCode="#,##0">
                  <c:v>1266</c:v>
                </c:pt>
                <c:pt idx="3" c:formatCode="#,##0">
                  <c:v>1547</c:v>
                </c:pt>
                <c:pt idx="4" c:formatCode="#,##0">
                  <c:v>1441</c:v>
                </c:pt>
                <c:pt idx="5" c:formatCode="#,##0">
                  <c:v>2005</c:v>
                </c:pt>
                <c:pt idx="6" c:formatCode="#,##0">
                  <c:v>1773</c:v>
                </c:pt>
                <c:pt idx="7" c:formatCode="#,##0">
                  <c:v>1894</c:v>
                </c:pt>
                <c:pt idx="8" c:formatCode="#,##0">
                  <c:v>1898</c:v>
                </c:pt>
                <c:pt idx="9" c:formatCode="#,##0">
                  <c:v>1854</c:v>
                </c:pt>
                <c:pt idx="10" c:formatCode="#,##0">
                  <c:v>1988</c:v>
                </c:pt>
                <c:pt idx="11" c:formatCode="#,##0">
                  <c:v>2092</c:v>
                </c:pt>
                <c:pt idx="12" c:formatCode="#,##0">
                  <c:v>2284</c:v>
                </c:pt>
              </c:numCache>
            </c:numRef>
          </c:val>
          <c:smooth val="0"/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'!$I$3:$I$15</c:f>
              <c:numCache>
                <c:formatCode>General</c:formatCode>
                <c:ptCount val="13"/>
                <c:pt idx="0">
                  <c:v>2022</c:v>
                </c:pt>
                <c:pt idx="1" c:formatCode="#,##0">
                  <c:v>2314</c:v>
                </c:pt>
                <c:pt idx="2" c:formatCode="#,##0">
                  <c:v>2128</c:v>
                </c:pt>
                <c:pt idx="3" c:formatCode="#,##0">
                  <c:v>2452</c:v>
                </c:pt>
                <c:pt idx="4" c:formatCode="#,##0">
                  <c:v>2299</c:v>
                </c:pt>
                <c:pt idx="5" c:formatCode="#,##0">
                  <c:v>2424</c:v>
                </c:pt>
                <c:pt idx="6" c:formatCode="#,##0">
                  <c:v>2298</c:v>
                </c:pt>
                <c:pt idx="7" c:formatCode="#,##0">
                  <c:v>2307</c:v>
                </c:pt>
                <c:pt idx="8" c:formatCode="#,##0">
                  <c:v>2374</c:v>
                </c:pt>
                <c:pt idx="9" c:formatCode="#,##0">
                  <c:v>2235</c:v>
                </c:pt>
                <c:pt idx="10" c:formatCode="#,##0">
                  <c:v>2193</c:v>
                </c:pt>
                <c:pt idx="11" c:formatCode="#,##0">
                  <c:v>2084</c:v>
                </c:pt>
                <c:pt idx="12" c:formatCode="#,##0">
                  <c:v>2074</c:v>
                </c:pt>
              </c:numCache>
            </c:numRef>
          </c:val>
          <c:smooth val="0"/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'!$J$3:$J$15</c:f>
              <c:numCache>
                <c:formatCode>General</c:formatCode>
                <c:ptCount val="13"/>
                <c:pt idx="0">
                  <c:v>2023</c:v>
                </c:pt>
                <c:pt idx="1" c:formatCode="#,##0">
                  <c:v>2050</c:v>
                </c:pt>
                <c:pt idx="2" c:formatCode="#,##0">
                  <c:v>1957</c:v>
                </c:pt>
                <c:pt idx="3" c:formatCode="#,##0">
                  <c:v>1776</c:v>
                </c:pt>
                <c:pt idx="4" c:formatCode="#,##0">
                  <c:v>1676</c:v>
                </c:pt>
                <c:pt idx="5" c:formatCode="#,##0">
                  <c:v>1812</c:v>
                </c:pt>
                <c:pt idx="6" c:formatCode="#,##0">
                  <c:v>1807</c:v>
                </c:pt>
                <c:pt idx="7" c:formatCode="#,##0">
                  <c:v>1836</c:v>
                </c:pt>
                <c:pt idx="8" c:formatCode="#,##0">
                  <c:v>1974</c:v>
                </c:pt>
                <c:pt idx="9" c:formatCode="#,##0">
                  <c:v>1882</c:v>
                </c:pt>
                <c:pt idx="10" c:formatCode="#,##0">
                  <c:v>2064</c:v>
                </c:pt>
                <c:pt idx="11" c:formatCode="#,##0">
                  <c:v>2608</c:v>
                </c:pt>
                <c:pt idx="12" c:formatCode="#,##0">
                  <c:v>2413</c:v>
                </c:pt>
              </c:numCache>
            </c:numRef>
          </c:val>
          <c:smooth val="0"/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'!$K$3:$K$15</c:f>
              <c:numCache>
                <c:formatCode>General</c:formatCode>
                <c:ptCount val="13"/>
                <c:pt idx="0">
                  <c:v>2024</c:v>
                </c:pt>
                <c:pt idx="1" c:formatCode="#,##0">
                  <c:v>2090</c:v>
                </c:pt>
                <c:pt idx="2" c:formatCode="#,##0">
                  <c:v>2063</c:v>
                </c:pt>
                <c:pt idx="3" c:formatCode="#,##0">
                  <c:v>2106</c:v>
                </c:pt>
                <c:pt idx="4" c:formatCode="#,##0">
                  <c:v>2140</c:v>
                </c:pt>
                <c:pt idx="5" c:formatCode="#,##0">
                  <c:v>2227</c:v>
                </c:pt>
                <c:pt idx="6" c:formatCode="#,##0">
                  <c:v>2071</c:v>
                </c:pt>
                <c:pt idx="7" c:formatCode="#,##0">
                  <c:v>2278</c:v>
                </c:pt>
                <c:pt idx="8" c:formatCode="#,##0">
                  <c:v>2364</c:v>
                </c:pt>
                <c:pt idx="9" c:formatCode="#,##0">
                  <c:v>2078</c:v>
                </c:pt>
                <c:pt idx="10" c:formatCode="#,##0">
                  <c:v>2148</c:v>
                </c:pt>
                <c:pt idx="11" c:formatCode="#,##0">
                  <c:v>2072</c:v>
                </c:pt>
                <c:pt idx="12" c:formatCode="#,##0">
                  <c:v>2153</c:v>
                </c:pt>
              </c:numCache>
            </c:numRef>
          </c:val>
          <c:smooth val="0"/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'!$L$3:$L$15</c:f>
              <c:numCache>
                <c:formatCode>General</c:formatCode>
                <c:ptCount val="13"/>
                <c:pt idx="0">
                  <c:v>2025</c:v>
                </c:pt>
                <c:pt idx="1" c:formatCode="#,##0">
                  <c:v>2146</c:v>
                </c:pt>
                <c:pt idx="2" c:formatCode="#,##0">
                  <c:v>1926</c:v>
                </c:pt>
                <c:pt idx="3" c:formatCode="#,##0">
                  <c:v>2148</c:v>
                </c:pt>
                <c:pt idx="4" c:formatCode="#,##0">
                  <c:v>1821</c:v>
                </c:pt>
                <c:pt idx="5" c:formatCode="#,##0">
                  <c:v>1765</c:v>
                </c:pt>
                <c:pt idx="6" c:formatCode="#,##0">
                  <c:v>1874</c:v>
                </c:pt>
                <c:pt idx="7" c:formatCode="#,##0">
                  <c:v>2010</c:v>
                </c:pt>
                <c:pt idx="8">
                  <c:v>2115</c:v>
                </c:pt>
                <c:pt idx="9">
                  <c:v>2012</c:v>
                </c:pt>
                <c:pt idx="10">
                  <c:v>2162</c:v>
                </c:pt>
                <c:pt idx="11">
                  <c:v>2222</c:v>
                </c:pt>
                <c:pt idx="12">
                  <c:v>2284</c:v>
                </c:pt>
              </c:numCache>
            </c:numRef>
          </c:val>
          <c:smooth val="0"/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'!$M$3:$M$15</c:f>
              <c:numCache>
                <c:formatCode>General</c:formatCode>
                <c:ptCount val="13"/>
                <c:pt idx="0">
                  <c:v>2026</c:v>
                </c:pt>
                <c:pt idx="1" c:formatCode="#,##0">
                  <c:v>2288</c:v>
                </c:pt>
                <c:pt idx="2" c:formatCode="#,##0">
                  <c:v>2094</c:v>
                </c:pt>
                <c:pt idx="3" c:formatCode="#,##0">
                  <c:v>2343</c:v>
                </c:pt>
                <c:pt idx="4" c:formatCode="#,##0">
                  <c:v>2213</c:v>
                </c:pt>
                <c:pt idx="5" c:formatCode="#,##0">
                  <c:v>2289</c:v>
                </c:pt>
                <c:pt idx="6" c:formatCode="#,##0">
                  <c:v>2303</c:v>
                </c:pt>
                <c:pt idx="7" c:formatCode="#,##0">
                  <c:v>2314</c:v>
                </c:pt>
                <c:pt idx="8" c:formatCode="#,##0">
                  <c:v>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428375544"/>
        <c:axId val="428377184"/>
      </c:lineChart>
      <c:catAx>
        <c:axId val="42837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28377184"/>
        <c:crossesAt val="0"/>
        <c:auto val="1"/>
        <c:lblAlgn val="ctr"/>
        <c:lblOffset val="100"/>
        <c:noMultiLvlLbl val="0"/>
      </c:catAx>
      <c:valAx>
        <c:axId val="42837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28375544"/>
        <c:crosses val="autoZero"/>
        <c:crossBetween val="between"/>
        <c:majorUnit val="300"/>
        <c:minorUnit val="3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cf0d73d9-4c28-47ec-be30-8088d6bd3f92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REPORTE VUELOS ATRASADOS AGOSTO - 2026</a:t>
            </a:r>
            <a:endParaRPr lang="en-U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5515584895462"/>
          <c:y val="0.034776096281775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814256402949"/>
          <c:y val="0.0697195340058763"/>
          <c:w val="0.871769858490745"/>
          <c:h val="0.8611877497183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'ATRASOS '!$B$71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'ATRASOS '!$C$70:$G$70</c:f>
              <c:strCache>
                <c:ptCount val="5"/>
                <c:pt idx="0">
                  <c:v>AVIANCA</c:v>
                </c:pt>
                <c:pt idx="1">
                  <c:v>LATAM 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</c:strCache>
            </c:strRef>
          </c:cat>
          <c:val>
            <c:numRef>
              <c:f>'ATRASOS '!$C$71:$G$71</c:f>
              <c:numCache>
                <c:formatCode>General</c:formatCode>
                <c:ptCount val="5"/>
                <c:pt idx="0">
                  <c:v>156</c:v>
                </c:pt>
                <c:pt idx="1">
                  <c:v>65</c:v>
                </c:pt>
                <c:pt idx="2">
                  <c:v>36</c:v>
                </c:pt>
                <c:pt idx="3">
                  <c:v>72</c:v>
                </c:pt>
                <c:pt idx="4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2844344"/>
        <c:axId val="562844672"/>
      </c:barChart>
      <c:catAx>
        <c:axId val="56284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</a:p>
        </c:txPr>
        <c:crossAx val="562844672"/>
        <c:crosses val="autoZero"/>
        <c:auto val="1"/>
        <c:lblAlgn val="ctr"/>
        <c:lblOffset val="100"/>
        <c:noMultiLvlLbl val="0"/>
      </c:catAx>
      <c:valAx>
        <c:axId val="5628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62844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105933b6-4abd-4ff5-a48d-c7ebb0402f79}"/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COMPARATIVO OPERACIONES DESTINO Y PROCEDENCIA 2024 VS 2025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'!$B$51</c:f>
              <c:strCache>
                <c:ptCount val="1"/>
                <c:pt idx="0">
                  <c:v>ENERO - DICIEMBRE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'ATRASOS '!$C$49:$K$50</c:f>
              <c:multiLvlStrCache>
                <c:ptCount val="9"/>
                <c:lvl>
                  <c:pt idx="0">
                    <c:v>MILITAR Y ESTADO</c:v>
                  </c:pt>
                  <c:pt idx="1">
                    <c:v>REGULAR</c:v>
                  </c:pt>
                  <c:pt idx="2">
                    <c:v>NO REGULAR</c:v>
                  </c:pt>
                  <c:pt idx="3">
                    <c:v>TOTAL</c:v>
                  </c:pt>
                  <c:pt idx="4">
                    <c:v>MILITAR Y ESTADO</c:v>
                  </c:pt>
                  <c:pt idx="5">
                    <c:v>REGULAR</c:v>
                  </c:pt>
                  <c:pt idx="6">
                    <c:v>NO REGULAR</c:v>
                  </c:pt>
                  <c:pt idx="7">
                    <c:v>TOTAL</c:v>
                  </c:pt>
                  <c:pt idx="8">
                    <c:v>% DE CREC. 2024 VS 2025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'ATRASOS '!$C$51:$K$51</c:f>
              <c:numCache>
                <c:formatCode>#,##0</c:formatCode>
                <c:ptCount val="9"/>
                <c:pt idx="0">
                  <c:v>514</c:v>
                </c:pt>
                <c:pt idx="1">
                  <c:v>21829</c:v>
                </c:pt>
                <c:pt idx="2">
                  <c:v>3470</c:v>
                </c:pt>
                <c:pt idx="3">
                  <c:v>25813</c:v>
                </c:pt>
                <c:pt idx="4">
                  <c:v>448</c:v>
                </c:pt>
                <c:pt idx="5">
                  <c:v>19785</c:v>
                </c:pt>
                <c:pt idx="6">
                  <c:v>4246</c:v>
                </c:pt>
                <c:pt idx="7">
                  <c:v>24479</c:v>
                </c:pt>
                <c:pt idx="8" c:formatCode="0.00%">
                  <c:v>0.0608453320947515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08652136"/>
        <c:axId val="308654432"/>
      </c:barChart>
      <c:catAx>
        <c:axId val="30865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308654432"/>
        <c:crosses val="autoZero"/>
        <c:auto val="1"/>
        <c:lblAlgn val="ctr"/>
        <c:lblOffset val="100"/>
        <c:noMultiLvlLbl val="0"/>
      </c:catAx>
      <c:valAx>
        <c:axId val="30865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308652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8f00ff3c-8f10-4e14-8287-fe5eb4091a42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>
          <a:solidFill>
            <a:sysClr val="windowText" lastClr="000000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</a:rPr>
              <a:t>REPORTE VUELOS ATRASADOS AGOSTO - 2025</a:t>
            </a:r>
            <a:endParaRPr lang="en-US" sz="1400" b="1" i="0" u="none" strike="noStrike" kern="1200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33431721856895"/>
          <c:y val="0.034530842762312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'!$B$86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'ATRASOS '!$C$84:$I$85</c:f>
              <c:multiLvlStrCache>
                <c:ptCount val="7"/>
                <c:lvl>
                  <c:pt idx="0">
                    <c:v>AVIANCA</c:v>
                  </c:pt>
                  <c:pt idx="1">
                    <c:v>LATAM </c:v>
                  </c:pt>
                  <c:pt idx="2">
                    <c:v>JETSMART</c:v>
                  </c:pt>
                  <c:pt idx="3">
                    <c:v>CLIC</c:v>
                  </c:pt>
                  <c:pt idx="4">
                    <c:v>COPA</c:v>
                  </c:pt>
                  <c:pt idx="5">
                    <c:v>AMERICAN</c:v>
                  </c:pt>
                  <c:pt idx="6">
                    <c:v>WINGO</c:v>
                  </c:pt>
                </c:lvl>
                <c:lvl/>
              </c:multiLvlStrCache>
            </c:multiLvlStrRef>
          </c:cat>
          <c:val>
            <c:numRef>
              <c:f>'ATRASOS '!$C$86:$I$86</c:f>
              <c:numCache>
                <c:formatCode>General</c:formatCode>
                <c:ptCount val="7"/>
                <c:pt idx="0">
                  <c:v>415</c:v>
                </c:pt>
                <c:pt idx="1">
                  <c:v>142</c:v>
                </c:pt>
                <c:pt idx="2">
                  <c:v>91</c:v>
                </c:pt>
                <c:pt idx="3">
                  <c:v>97</c:v>
                </c:pt>
                <c:pt idx="4">
                  <c:v>62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7281736"/>
        <c:axId val="577290736"/>
      </c:barChart>
      <c:catAx>
        <c:axId val="57728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7290736"/>
        <c:crosses val="autoZero"/>
        <c:auto val="1"/>
        <c:lblAlgn val="ctr"/>
        <c:lblOffset val="100"/>
        <c:noMultiLvlLbl val="0"/>
      </c:catAx>
      <c:valAx>
        <c:axId val="57729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772817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734d912a-ee8b-454e-83d1-ad274df1a144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</a:t>
            </a:r>
            <a:endParaRPr lang="en-US" sz="12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'!$C$2:$C$3</c:f>
              <c:strCache>
                <c:ptCount val="1"/>
                <c:pt idx="0">
                  <c:v>VOLUMEN DE CARGA MES DE AGOSTO 2026 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'!$B$4:$B$7</c:f>
              <c:strCache>
                <c:ptCount val="4"/>
                <c:pt idx="0">
                  <c:v>LATAM</c:v>
                </c:pt>
                <c:pt idx="1">
                  <c:v>AEROCAFETEROS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'!$C$4:$C$7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20386</c:v>
                </c:pt>
                <c:pt idx="3">
                  <c:v>20386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4279584"/>
        <c:axId val="614278864"/>
      </c:lineChart>
      <c:catAx>
        <c:axId val="61427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4278864"/>
        <c:crosses val="autoZero"/>
        <c:auto val="1"/>
        <c:lblAlgn val="ctr"/>
        <c:lblOffset val="100"/>
        <c:noMultiLvlLbl val="0"/>
      </c:catAx>
      <c:valAx>
        <c:axId val="61427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427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eccaa474-728f-407a-94e1-5c2ca25a5de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INTERNACIONALES LLEGADOS POR AEROLINEA</a:t>
            </a:r>
            <a:endParaRPr lang="es-CO" sz="1100"/>
          </a:p>
        </c:rich>
      </c:tx>
      <c:layout>
        <c:manualLayout>
          <c:xMode val="edge"/>
          <c:yMode val="edge"/>
          <c:x val="0.136321477056747"/>
          <c:y val="0.032766207941720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0441643929741233"/>
          <c:y val="0.137341379533228"/>
          <c:w val="0.937302809031627"/>
          <c:h val="0.705221419728916"/>
        </c:manualLayout>
      </c:layout>
      <c:pie3DChart>
        <c:varyColors val="1"/>
        <c:ser>
          <c:idx val="0"/>
          <c:order val="0"/>
          <c:tx>
            <c:strRef>
              <c:f>'ESTADISTICAS AEROLINEAS '!$C$62</c:f>
              <c:strCache>
                <c:ptCount val="1"/>
                <c:pt idx="0">
                  <c:v>PAX. INTERNACIONALES</c:v>
                </c:pt>
              </c:strCache>
            </c:strRef>
          </c:tx>
          <c:explosion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 defTabSz="914400">
                      <a:defRPr lang="es-MX"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f06159c-bc63-4395-b38a-f41016d0ffc0}" type="CATEGORYNAME">
                      <a:t>[CATEGORY NAME]</a:t>
                    </a:fld>
                    <a:r>
                      <a:t>,</a:t>
                    </a:r>
                    <a:fld id="{8c333780-7d08-4faf-a54f-559ee2193ccb}" type="VALUE">
                      <a:t>[VALUE]</a:t>
                    </a:fld>
                    <a:endParaRPr lang="en-US" sz="1200"/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069149716817"/>
                      <c:h val="0.139389164827619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0"/>
                  <c:y val="-0.0692948046944187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 defTabSz="914400">
                      <a:defRPr lang="es-MX"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a363c58-f35f-4fb8-a9a9-4fae741186d3}" type="CATEGORYNAME">
                      <a:t>[CATEGORY NAME]</a:t>
                    </a:fld>
                    <a:r>
                      <a:t>,</a:t>
                    </a:r>
                    <a:fld id="{07f9dbc3-b2a6-4aa8-bbe6-c911f8f7f78b}" type="VALUE">
                      <a:t>[VALUE]</a:t>
                    </a:fld>
                    <a:endParaRPr lang="en-US">
                      <a:solidFill>
                        <a:schemeClr val="accent1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2972972522231"/>
                  <c:y val="-0.04797322139837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 defTabSz="914400">
                      <a:defRPr lang="es-MX"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2a6291-2326-40ab-b9d3-dea3e233f875}" type="CATEGORYNAME">
                      <a:t>[CATEGORY NAME]</a:t>
                    </a:fld>
                    <a:r>
                      <a:t>,</a:t>
                    </a:r>
                    <a:fld id="{a36fa6eb-091a-485b-829b-48e33e50c1e0}" type="VALUE">
                      <a:t>[VALUE]</a:t>
                    </a:fld>
                    <a:endParaRPr lang="en-US"/>
                  </a:p>
                </c:rich>
              </c:tx>
              <c:numFmt formatCode="0.00%" sourceLinked="0"/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666100407824"/>
                      <c:h val="0.13240337603229"/>
                    </c:manualLayout>
                  </c15:layout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'ESTADISTICAS AEROLINEAS '!$B$63:$B$65</c:f>
              <c:strCache>
                <c:ptCount val="3"/>
                <c:pt idx="0">
                  <c:v>COPA</c:v>
                </c:pt>
                <c:pt idx="1">
                  <c:v>GENERAL</c:v>
                </c:pt>
                <c:pt idx="2">
                  <c:v>AVIANCA</c:v>
                </c:pt>
              </c:strCache>
            </c:strRef>
          </c:cat>
          <c:val>
            <c:numRef>
              <c:f>'ESTADISTICAS AEROLINEAS '!$C$63:$C$65</c:f>
              <c:numCache>
                <c:formatCode>#,##0</c:formatCode>
                <c:ptCount val="3"/>
                <c:pt idx="0">
                  <c:v>4276</c:v>
                </c:pt>
                <c:pt idx="1">
                  <c:v>9</c:v>
                </c:pt>
                <c:pt idx="2">
                  <c:v>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07a8821e-f1c1-401f-8d48-6fd28aa9979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>
                <a:solidFill>
                  <a:sysClr val="windowText" lastClr="000000"/>
                </a:solidFill>
              </a:rPr>
              <a:t>KILOS CARGA</a:t>
            </a:r>
            <a:r>
              <a:rPr lang="es-CO" sz="1000" b="1" baseline="0">
                <a:solidFill>
                  <a:sysClr val="windowText" lastClr="000000"/>
                </a:solidFill>
              </a:rPr>
              <a:t> TRANSPORTADA AD-SKPE</a:t>
            </a:r>
            <a:endParaRPr lang="es-CO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'!$C$4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'CARGA '!$B$5</c:f>
              <c:strCache>
                <c:ptCount val="1"/>
                <c:pt idx="0">
                  <c:v>AEROCAFETEROS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'CARGA '!$B$6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'!$C$6</c:f>
              <c:numCache>
                <c:formatCode>#,##0</c:formatCode>
                <c:ptCount val="1"/>
                <c:pt idx="0">
                  <c:v>20386</c:v>
                </c:pt>
              </c:numCache>
            </c:numRef>
          </c:val>
        </c:ser>
        <c:ser>
          <c:idx val="3"/>
          <c:order val="3"/>
          <c:tx>
            <c:strRef>
              <c:f>'CARGA '!$B$7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'!$C$7</c:f>
              <c:numCache>
                <c:formatCode>#,##0</c:formatCode>
                <c:ptCount val="1"/>
                <c:pt idx="0">
                  <c:v>20386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9172296"/>
        <c:axId val="599171936"/>
      </c:barChart>
      <c:catAx>
        <c:axId val="5991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9171936"/>
        <c:crosses val="autoZero"/>
        <c:auto val="1"/>
        <c:lblAlgn val="ctr"/>
        <c:lblOffset val="100"/>
        <c:noMultiLvlLbl val="0"/>
      </c:catAx>
      <c:valAx>
        <c:axId val="5991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991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599d9d9a-4240-4944-b97a-4996026de8d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PRIMER SEMESTRE AÑO 2026 ( ENERO - JUNIO) </a:t>
            </a:r>
            <a:endParaRPr lang="en-US" sz="12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26481159325149"/>
          <c:y val="0.038329919282967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'!$C$9:$C$10</c:f>
              <c:strCache>
                <c:ptCount val="1"/>
                <c:pt idx="0">
                  <c:v>VOLUMEN DE CARGA PRIMER SEMESTRE AÑO 2026  (ENERO - JUNIO) 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'!$B$11:$B$14</c:f>
              <c:strCache>
                <c:ptCount val="4"/>
                <c:pt idx="0">
                  <c:v>AEROCAFETEROS</c:v>
                </c:pt>
                <c:pt idx="1">
                  <c:v>LATAM</c:v>
                </c:pt>
                <c:pt idx="2">
                  <c:v>DEPRISA</c:v>
                </c:pt>
                <c:pt idx="3">
                  <c:v>TOTAL </c:v>
                </c:pt>
              </c:strCache>
            </c:strRef>
          </c:cat>
          <c:val>
            <c:numRef>
              <c:f>'CARGA '!$C$11:$C$14</c:f>
              <c:numCache>
                <c:formatCode>#,##0</c:formatCode>
                <c:ptCount val="4"/>
                <c:pt idx="0">
                  <c:v>0</c:v>
                </c:pt>
                <c:pt idx="1">
                  <c:v>54749</c:v>
                </c:pt>
                <c:pt idx="2">
                  <c:v>383119</c:v>
                </c:pt>
                <c:pt idx="3">
                  <c:v>437868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c10f8a79-85fa-4ac0-9c01-3b86390938e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u="none" strike="noStrike" kern="1200" spc="0" baseline="0">
                <a:solidFill>
                  <a:sysClr val="windowText" lastClr="000000"/>
                </a:solidFill>
              </a:rPr>
              <a:t>KILOS CARGA TRANSPORTADA</a:t>
            </a:r>
            <a:endParaRPr lang="es-CO" sz="1200" b="1" i="0" u="none" strike="noStrike" kern="1200" spc="0" baseline="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'!$B$55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'!$C$55:$N$55</c:f>
              <c:numCache>
                <c:formatCode>#,##0</c:formatCode>
                <c:ptCount val="12"/>
                <c:pt idx="0">
                  <c:v>62350</c:v>
                </c:pt>
                <c:pt idx="1">
                  <c:v>80852</c:v>
                </c:pt>
                <c:pt idx="2">
                  <c:v>66737</c:v>
                </c:pt>
                <c:pt idx="3">
                  <c:v>57122</c:v>
                </c:pt>
                <c:pt idx="4">
                  <c:v>79253</c:v>
                </c:pt>
                <c:pt idx="5">
                  <c:v>36805</c:v>
                </c:pt>
                <c:pt idx="6">
                  <c:v>61854</c:v>
                </c:pt>
                <c:pt idx="7">
                  <c:v>20386</c:v>
                </c:pt>
              </c:numCache>
            </c:numRef>
          </c:val>
        </c:ser>
        <c:ser>
          <c:idx val="1"/>
          <c:order val="1"/>
          <c:tx>
            <c:strRef>
              <c:f>'CARGA '!$B$56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'!$C$56:$N$56</c:f>
              <c:numCache>
                <c:formatCode>#,##0</c:formatCode>
                <c:ptCount val="12"/>
                <c:pt idx="0">
                  <c:v>7435</c:v>
                </c:pt>
                <c:pt idx="1">
                  <c:v>8512</c:v>
                </c:pt>
                <c:pt idx="2">
                  <c:v>10466</c:v>
                </c:pt>
                <c:pt idx="3">
                  <c:v>13305</c:v>
                </c:pt>
                <c:pt idx="4">
                  <c:v>7087</c:v>
                </c:pt>
                <c:pt idx="5">
                  <c:v>7944</c:v>
                </c:pt>
                <c:pt idx="6">
                  <c:v>10334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'CARGA '!$B$57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'!$C$57:$N$57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07888"/>
        <c:axId val="106211128"/>
      </c:barChart>
      <c:catAx>
        <c:axId val="10620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211128"/>
        <c:crosses val="autoZero"/>
        <c:auto val="0"/>
        <c:lblAlgn val="ctr"/>
        <c:lblOffset val="100"/>
        <c:noMultiLvlLbl val="0"/>
      </c:catAx>
      <c:valAx>
        <c:axId val="10621112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10620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ln>
                  <a:gradFill>
                    <a:gsLst>
                      <a:gs pos="0">
                        <a:schemeClr val="accent1">
                          <a:lumMod val="5000"/>
                          <a:lumOff val="95000"/>
                        </a:schemeClr>
                      </a:gs>
                      <a:gs pos="74000">
                        <a:schemeClr val="accent1">
                          <a:lumMod val="45000"/>
                          <a:lumOff val="55000"/>
                        </a:schemeClr>
                      </a:gs>
                      <a:gs pos="83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402578171409755"/>
          <c:y val="0.915512029140402"/>
          <c:w val="0.21452229490422"/>
          <c:h val="0.0683895364143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900" b="1" i="0" u="none" strike="noStrike" kern="1200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d059555-c841-4dcc-b149-22d7b6f3a95d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SEGUNDO SEMESTRE AÑO 2026  ( JULIO - DICIEMBRE) </a:t>
            </a:r>
            <a:endParaRPr lang="en-US" sz="12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26481159325149"/>
          <c:y val="0.038329919282967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'!$C$17:$C$18</c:f>
              <c:strCache>
                <c:ptCount val="1"/>
                <c:pt idx="0">
                  <c:v>VOLUMEN DE CARGA SEGUNDO SEMESTRE AÑO 2026  ( JULIO - DICIEMBRE) 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'!$B$19:$B$22</c:f>
              <c:strCache>
                <c:ptCount val="4"/>
                <c:pt idx="0">
                  <c:v>AEROCAFETEROS</c:v>
                </c:pt>
                <c:pt idx="1">
                  <c:v>LATAM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'!$C$19:$C$22</c:f>
              <c:numCache>
                <c:formatCode>#,##0</c:formatCode>
                <c:ptCount val="4"/>
                <c:pt idx="0">
                  <c:v>825</c:v>
                </c:pt>
                <c:pt idx="1">
                  <c:v>10334</c:v>
                </c:pt>
                <c:pt idx="2">
                  <c:v>82240</c:v>
                </c:pt>
                <c:pt idx="3">
                  <c:v>93399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8353a8a6-4790-41cc-a962-409d2b3fbd9b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SALIDOS POR AEROLINEAS</a:t>
            </a:r>
            <a:endParaRPr lang="es-CO"/>
          </a:p>
        </c:rich>
      </c:tx>
      <c:layout>
        <c:manualLayout>
          <c:xMode val="edge"/>
          <c:yMode val="edge"/>
          <c:x val="0.175855170594442"/>
          <c:y val="0.01329639657183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75457601666712"/>
          <c:y val="0.0811568848011646"/>
          <c:w val="0.64403359127682"/>
          <c:h val="0.915150813816005"/>
        </c:manualLayout>
      </c:layout>
      <c:pie3DChart>
        <c:varyColors val="1"/>
        <c:ser>
          <c:idx val="0"/>
          <c:order val="0"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0.0236665058970597"/>
                  <c:y val="0.154793272863864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26af0c7-b89c-44b4-aa44-e8ecff331db8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59390139385047"/>
                  <c:y val="0.0956903868612977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24b69da-f52f-4782-bb2e-cd1e0150a895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2067fb6-e44a-4ff6-8e91-61928c280c33}" type="CATEGORYNAME">
                      <a:t>[CATEGORY NAME]</a:t>
                    </a:fld>
                    <a:endParaRPr lang="en-US"/>
                  </a:p>
                </c:rich>
              </c:tx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0771084239378"/>
                  <c:y val="0.05614508240498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0473136991121417"/>
                  <c:y val="-0.0235709046265128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14765009875808"/>
                  <c:y val="-0.0348284902535075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25608463834"/>
                  <c:y val="-0.0355322029841749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'ESTADISTICAS AEROLINEAS '!$B$28:$B$34</c:f>
              <c:strCache>
                <c:ptCount val="7"/>
                <c:pt idx="0">
                  <c:v>AVIANCA</c:v>
                </c:pt>
                <c:pt idx="1">
                  <c:v>COPA</c:v>
                </c:pt>
                <c:pt idx="2">
                  <c:v>LATAM</c:v>
                </c:pt>
                <c:pt idx="3">
                  <c:v>JETSMART</c:v>
                </c:pt>
                <c:pt idx="4">
                  <c:v>CLIC</c:v>
                </c:pt>
                <c:pt idx="5">
                  <c:v>AVIACIÓN GENERAL</c:v>
                </c:pt>
                <c:pt idx="6">
                  <c:v>AVIACION ESTATAL</c:v>
                </c:pt>
              </c:strCache>
            </c:strRef>
          </c:cat>
          <c:val>
            <c:numRef>
              <c:f>'ESTADISTICAS AEROLINEAS '!$C$28:$C$34</c:f>
              <c:numCache>
                <c:formatCode>#,##0</c:formatCode>
                <c:ptCount val="7"/>
                <c:pt idx="0">
                  <c:v>6158</c:v>
                </c:pt>
                <c:pt idx="1">
                  <c:v>4858</c:v>
                </c:pt>
                <c:pt idx="2">
                  <c:v>881</c:v>
                </c:pt>
                <c:pt idx="3">
                  <c:v>0</c:v>
                </c:pt>
                <c:pt idx="4">
                  <c:v>621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935a67fd-964b-4d75-b499-e9f6784f5aa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SALIDOS POR AEROLINEA</a:t>
            </a:r>
            <a:endParaRPr lang="es-CO"/>
          </a:p>
        </c:rich>
      </c:tx>
      <c:layout>
        <c:manualLayout>
          <c:xMode val="edge"/>
          <c:yMode val="edge"/>
          <c:x val="0.180751288030743"/>
          <c:y val="0.021023427050363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0512203635200966"/>
          <c:y val="0.102190891710877"/>
          <c:w val="0.924630107421832"/>
          <c:h val="0.840108498720272"/>
        </c:manualLayout>
      </c:layout>
      <c:pie3DChart>
        <c:varyColors val="1"/>
        <c:ser>
          <c:idx val="0"/>
          <c:order val="0"/>
          <c:tx>
            <c:strRef>
              <c:f>'ESTADISTICAS AEROLINEAS '!$C$16</c:f>
              <c:strCache>
                <c:ptCount val="1"/>
                <c:pt idx="0">
                  <c:v>PAX. NACIONALES</c:v>
                </c:pt>
              </c:strCache>
            </c:strRef>
          </c:tx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0.106027434976264"/>
                  <c:y val="0.239542353940729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338385430775311"/>
                  <c:y val="0.0565214415096402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06062516930373"/>
                  <c:y val="-0.0269148712292954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1279514359177"/>
                  <c:y val="-0.00807446136878862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0676770861550622"/>
                  <c:y val="-0.034989332598084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389192448942434"/>
                  <c:y val="0.0298562216056056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211409006736623"/>
                  <c:y val="-0.0215318969834363"/>
                </c:manualLayout>
              </c:layout>
              <c:numFmt formatCode="General" sourceLinked="1"/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'ESTADISTICAS AEROLINEAS '!$B$17:$B$23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AVIACIÓN GENERAL</c:v>
                </c:pt>
                <c:pt idx="6">
                  <c:v>AVIACIÓN ESTATAL</c:v>
                </c:pt>
              </c:strCache>
            </c:strRef>
          </c:cat>
          <c:val>
            <c:numRef>
              <c:f>'ESTADISTICAS AEROLINEAS '!$C$17:$C$23</c:f>
              <c:numCache>
                <c:formatCode>#,##0</c:formatCode>
                <c:ptCount val="7"/>
                <c:pt idx="0">
                  <c:v>21462</c:v>
                </c:pt>
                <c:pt idx="1">
                  <c:v>8042</c:v>
                </c:pt>
                <c:pt idx="2">
                  <c:v>6060</c:v>
                </c:pt>
                <c:pt idx="3">
                  <c:v>1742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2f86f76d-7dee-41cc-ac89-eb81f1c94a16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</a:rPr>
              <a:t>MOVIMIENTO DE OPERACIONES POR </a:t>
            </a:r>
            <a:r>
              <a:rPr lang="en-US" sz="1200" b="1" i="0" u="none" baseline="0">
                <a:solidFill>
                  <a:sysClr val="windowText" lastClr="000000"/>
                </a:solidFill>
                <a:effectLst/>
              </a:rPr>
              <a:t>AEROLÍNEA - PROCEDENCIA </a:t>
            </a:r>
            <a:endParaRPr lang="es-CO" sz="1200" u="none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20514999957997"/>
          <c:y val="0.0604086144861031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'DESTINO Y PROCE '!$C$117</c:f>
              <c:strCache>
                <c:ptCount val="1"/>
                <c:pt idx="0">
                  <c:v>PROCEDENCIA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'!$B$118:$B$124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'!$C$118:$C$124</c:f>
              <c:numCache>
                <c:formatCode>0</c:formatCode>
                <c:ptCount val="7"/>
                <c:pt idx="0">
                  <c:v>156</c:v>
                </c:pt>
                <c:pt idx="1">
                  <c:v>191</c:v>
                </c:pt>
                <c:pt idx="2">
                  <c:v>67</c:v>
                </c:pt>
                <c:pt idx="3">
                  <c:v>83</c:v>
                </c:pt>
                <c:pt idx="4">
                  <c:v>36</c:v>
                </c:pt>
                <c:pt idx="5">
                  <c:v>32</c:v>
                </c:pt>
                <c:pt idx="6">
                  <c:v>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150"/>
        <c:shape val="box"/>
        <c:axId val="642954912"/>
        <c:axId val="642952616"/>
        <c:axId val="564915592"/>
      </c:bar3DChart>
      <c:catAx>
        <c:axId val="64295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42952616"/>
        <c:crosses val="autoZero"/>
        <c:auto val="1"/>
        <c:lblAlgn val="ctr"/>
        <c:lblOffset val="100"/>
        <c:noMultiLvlLbl val="0"/>
      </c:catAx>
      <c:valAx>
        <c:axId val="64295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642954912"/>
        <c:crosses val="autoZero"/>
        <c:crossBetween val="between"/>
      </c:valAx>
      <c:serAx>
        <c:axId val="564915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642952616"/>
        <c:crosses val="autoZero"/>
        <c:tickMarkSkip val="1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79b0880d-7af9-40a7-9d92-6441e101278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7" charset="0"/>
                <a:cs typeface="Arial" panose="020B0604020202020204" pitchFamily="7" charset="0"/>
              </a:rPr>
              <a:t>MOVIMIENTO DE OPERACIONES POR AEROLÍNEA</a:t>
            </a:r>
            <a:endParaRPr lang="en-US" sz="1000" b="1" i="0" u="none" baseline="0">
              <a:solidFill>
                <a:sysClr val="windowText" lastClr="000000"/>
              </a:solidFill>
              <a:effectLst/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78780424951494"/>
          <c:y val="0.043304837260194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'DESTINO Y PROCE '!$C$127</c:f>
              <c:strCache>
                <c:ptCount val="1"/>
                <c:pt idx="0">
                  <c:v>DESTINO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MX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'!$B$128:$B$134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'!$C$128:$C$134</c:f>
              <c:numCache>
                <c:formatCode>0</c:formatCode>
                <c:ptCount val="7"/>
                <c:pt idx="0">
                  <c:v>157</c:v>
                </c:pt>
                <c:pt idx="1">
                  <c:v>194</c:v>
                </c:pt>
                <c:pt idx="2">
                  <c:v>67</c:v>
                </c:pt>
                <c:pt idx="3">
                  <c:v>83</c:v>
                </c:pt>
                <c:pt idx="4">
                  <c:v>36</c:v>
                </c:pt>
                <c:pt idx="5">
                  <c:v>32</c:v>
                </c:pt>
                <c:pt idx="6">
                  <c:v>93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150"/>
        <c:shape val="box"/>
        <c:axId val="564026040"/>
        <c:axId val="564023416"/>
      </c:bar3DChart>
      <c:catAx>
        <c:axId val="564026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4023416"/>
        <c:crosses val="autoZero"/>
        <c:auto val="1"/>
        <c:lblAlgn val="ctr"/>
        <c:lblOffset val="100"/>
        <c:noMultiLvlLbl val="0"/>
      </c:catAx>
      <c:valAx>
        <c:axId val="564023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  <c:crossAx val="564026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d0116b25-755c-487d-b4d6-a55b3ab6c15b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OPERACIONES COMERCIALES NACIONALES POR DESTINO Y PROCEDENCIA </a:t>
            </a:r>
            <a:endParaRPr lang="en-US" sz="1100"/>
          </a:p>
        </c:rich>
      </c:tx>
      <c:layout>
        <c:manualLayout>
          <c:xMode val="edge"/>
          <c:yMode val="edge"/>
          <c:x val="0.142824912843341"/>
          <c:y val="0.039073356265127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09336214387086"/>
          <c:y val="0.247558651255465"/>
          <c:w val="0.836309390667073"/>
          <c:h val="0.621439644667489"/>
        </c:manualLayout>
      </c:layout>
      <c:pie3DChart>
        <c:varyColors val="1"/>
        <c:ser>
          <c:idx val="0"/>
          <c:order val="0"/>
          <c:tx>
            <c:strRef>
              <c:f>'DESTINO Y PROCE '!$C$138</c:f>
              <c:strCache>
                <c:ptCount val="1"/>
                <c:pt idx="0">
                  <c:v>DESTINO Y PROCEDENCIA</c:v>
                </c:pt>
              </c:strCache>
            </c:strRef>
          </c:tx>
          <c:explosion val="3"/>
          <c:dPt>
            <c:idx val="0"/>
            <c:bubble3D val="0"/>
            <c:explosion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explosion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explosion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explosion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0.0812182741116751"/>
                  <c:y val="-0.0218465620191499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c2ae561-8113-4191-8e51-eaca0d023f2e}" type="CATEGORYNAME">
                      <a:t>[CATEGORY NAME]</a:t>
                    </a:fld>
                    <a:endParaRPr lang="en-US" b="1" baseline="0"/>
                  </a:p>
                </c:rich>
              </c:tx>
              <c:numFmt formatCode="General" sourceLinked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General" sourceLinked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0263959390862944"/>
                  <c:y val="-0.076462967067024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ac5193-279a-4f8f-a9d4-4c1720c8e48e}" type="CATEGORYNAME">
                      <a:t>[CATEGORY NAME]</a:t>
                    </a:fld>
                    <a:endParaRPr lang="en-US" b="1" baseline="0"/>
                  </a:p>
                </c:rich>
              </c:tx>
              <c:numFmt formatCode="General" sourceLinked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0609137055837563"/>
                  <c:y val="-0.0400520303684414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4b2b74e-e073-4419-91db-604a7f43eda5}" type="CATEGORYNAME">
                      <a:t>[CATEGORY NAME]</a:t>
                    </a:fld>
                    <a:endParaRPr lang="en-US" b="1" baseline="0"/>
                  </a:p>
                </c:rich>
              </c:tx>
              <c:numFmt formatCode="General" sourceLinked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'!$B$139:$B$142</c:f>
              <c:strCache>
                <c:ptCount val="4"/>
                <c:pt idx="0">
                  <c:v>LATAM</c:v>
                </c:pt>
                <c:pt idx="1">
                  <c:v>AVIANCA</c:v>
                </c:pt>
                <c:pt idx="2">
                  <c:v>CLIC</c:v>
                </c:pt>
                <c:pt idx="3">
                  <c:v>JETSMART</c:v>
                </c:pt>
              </c:strCache>
            </c:strRef>
          </c:cat>
          <c:val>
            <c:numRef>
              <c:f>'DESTINO Y PROCE '!$C$139:$C$142</c:f>
              <c:numCache>
                <c:formatCode>#,##0</c:formatCode>
                <c:ptCount val="4"/>
                <c:pt idx="0">
                  <c:v>134</c:v>
                </c:pt>
                <c:pt idx="1">
                  <c:v>313</c:v>
                </c:pt>
                <c:pt idx="2">
                  <c:v>166</c:v>
                </c:pt>
                <c:pt idx="3">
                  <c:v>72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1e444f75-ab69-4ae7-87a1-09fc885e1b0f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OPERACIONES COMERCIALES INTERNACIONALES POR DESTINO Y PROCEDENCIA</a:t>
            </a:r>
            <a:endParaRPr lang="es-CO" sz="1000"/>
          </a:p>
        </c:rich>
      </c:tx>
      <c:layout>
        <c:manualLayout>
          <c:xMode val="edge"/>
          <c:yMode val="edge"/>
          <c:x val="0.138922316624832"/>
          <c:y val="0.0592448303564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00983527727427161"/>
          <c:y val="0.231456436621516"/>
          <c:w val="0.938888888888889"/>
          <c:h val="0.671457786526684"/>
        </c:manualLayout>
      </c:layout>
      <c:pie3DChart>
        <c:varyColors val="1"/>
        <c:ser>
          <c:idx val="0"/>
          <c:order val="0"/>
          <c:tx>
            <c:strRef>
              <c:f>'DESTINO Y PROCE '!$C$148</c:f>
              <c:strCache>
                <c:ptCount val="1"/>
                <c:pt idx="0">
                  <c:v>DESTINO Y PROCEDENCIA</c:v>
                </c:pt>
              </c:strCache>
            </c:strRef>
          </c:tx>
          <c:explosion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/>
              <c:numFmt formatCode="General" sourceLinked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0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'!$B$149:$B$150</c15:sqref>
                  </c15:fullRef>
                </c:ext>
              </c:extLst>
              <c:f>'DESTINO Y PROCE '!$B$149</c:f>
              <c:strCache>
                <c:ptCount val="1"/>
                <c:pt idx="0">
                  <c:v>COPA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'!$C$149:$C$150</c15:sqref>
                  </c15:fullRef>
                </c:ext>
              </c:extLst>
              <c:f>'DESTINO Y PROCE '!$C$149</c:f>
              <c:numCache>
                <c:formatCode>0</c:formatCode>
                <c:ptCount val="1"/>
                <c:pt idx="0">
                  <c:v>64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659f35d-edd9-4eac-8c83-82e642cb667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NACIONALES POR PROCEDENCIA </a:t>
            </a:r>
            <a:endParaRPr lang="es-CO" sz="1100"/>
          </a:p>
        </c:rich>
      </c:tx>
      <c:layout>
        <c:manualLayout>
          <c:xMode val="edge"/>
          <c:yMode val="edge"/>
          <c:x val="0.30398970564339"/>
          <c:y val="0.0256844900798187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2644351648738"/>
          <c:y val="0.155379855087591"/>
          <c:w val="0.694711296702525"/>
          <c:h val="0.776937169140609"/>
        </c:manualLayout>
      </c:layout>
      <c:pie3DChart>
        <c:varyColors val="1"/>
        <c:ser>
          <c:idx val="0"/>
          <c:order val="0"/>
          <c:tx>
            <c:strRef>
              <c:f>'DESTINO Y PROCE '!$C$38</c:f>
              <c:strCache>
                <c:ptCount val="1"/>
                <c:pt idx="0">
                  <c:v>PAX. NACIONALES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0.0179104505677049"/>
                  <c:y val="0.010462583494711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358af6e-c280-474f-b99d-1c863b3eeb54}" type="CATEGORYNAME">
                      <a:t>[CATEGORY NAME]</a:t>
                    </a:fld>
                    <a:endParaRPr lang="en-US" sz="11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0398010012615664"/>
                  <c:y val="-0.038362806147275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894b487-2563-463d-9e40-71ad84d251c1}" type="CATEGORYNAME">
                      <a:t>[CATEGORY NAME]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19403003784699"/>
                  <c:y val="-0.027900222652564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7296cc9-cb4b-459b-b285-0302c1c900f8}" type="CATEGORYNAME">
                      <a:t>[CATEGORY NAME]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258706508200182"/>
                  <c:y val="-0.01046258349471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00995025031539152"/>
                  <c:y val="-0.017437639157852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MX"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91cd7b8-2489-4965-9b19-affdc9402c81}" type="CATEGORYNAME">
                      <a:t>[CATEGORY NAME]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0716418022708195"/>
                  <c:y val="-1.59843179091604e-1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MX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s-MX"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'!$B$39:$B$44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'!$C$39:$C$44</c:f>
              <c:numCache>
                <c:formatCode>#,##0</c:formatCode>
                <c:ptCount val="6"/>
                <c:pt idx="0">
                  <c:v>34466</c:v>
                </c:pt>
                <c:pt idx="1">
                  <c:v>2501</c:v>
                </c:pt>
                <c:pt idx="2">
                  <c:v>3105</c:v>
                </c:pt>
                <c:pt idx="3">
                  <c:v>2781</c:v>
                </c:pt>
                <c:pt idx="4">
                  <c:v>1385</c:v>
                </c:pt>
                <c:pt idx="5">
                  <c:v>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0930d84d-f299-46d1-8da1-21d9859266fb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MX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chart" Target="../charts/chart13.xml"/><Relationship Id="rId8" Type="http://schemas.openxmlformats.org/officeDocument/2006/relationships/chart" Target="../charts/chart12.xml"/><Relationship Id="rId7" Type="http://schemas.openxmlformats.org/officeDocument/2006/relationships/chart" Target="../charts/chart11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0" Type="http://schemas.openxmlformats.org/officeDocument/2006/relationships/chart" Target="../charts/chart14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4" Type="http://schemas.openxmlformats.org/officeDocument/2006/relationships/chart" Target="../charts/chart18.xml"/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7" Type="http://schemas.openxmlformats.org/officeDocument/2006/relationships/image" Target="../media/image2.png"/><Relationship Id="rId6" Type="http://schemas.openxmlformats.org/officeDocument/2006/relationships/image" Target="../media/image1.emf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783543</xdr:colOff>
      <xdr:row>35</xdr:row>
      <xdr:rowOff>179918</xdr:rowOff>
    </xdr:from>
    <xdr:to>
      <xdr:col>10</xdr:col>
      <xdr:colOff>1039812</xdr:colOff>
      <xdr:row>58</xdr:row>
      <xdr:rowOff>108479</xdr:rowOff>
    </xdr:to>
    <xdr:graphicFrame>
      <xdr:nvGraphicFramePr>
        <xdr:cNvPr id="4" name="Gráfico 3"/>
        <xdr:cNvGraphicFramePr/>
      </xdr:nvGraphicFramePr>
      <xdr:xfrm>
        <a:off x="7736205" y="7428230"/>
        <a:ext cx="5542915" cy="4681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1120510</xdr:colOff>
      <xdr:row>36</xdr:row>
      <xdr:rowOff>9258</xdr:rowOff>
    </xdr:from>
    <xdr:to>
      <xdr:col>17</xdr:col>
      <xdr:colOff>523875</xdr:colOff>
      <xdr:row>58</xdr:row>
      <xdr:rowOff>11906</xdr:rowOff>
    </xdr:to>
    <xdr:graphicFrame>
      <xdr:nvGraphicFramePr>
        <xdr:cNvPr id="5" name="Gráfico 4"/>
        <xdr:cNvGraphicFramePr/>
      </xdr:nvGraphicFramePr>
      <xdr:xfrm>
        <a:off x="13359765" y="7447915"/>
        <a:ext cx="4794885" cy="45650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678656</xdr:colOff>
      <xdr:row>0</xdr:row>
      <xdr:rowOff>137582</xdr:rowOff>
    </xdr:from>
    <xdr:to>
      <xdr:col>19</xdr:col>
      <xdr:colOff>1</xdr:colOff>
      <xdr:row>21</xdr:row>
      <xdr:rowOff>178592</xdr:rowOff>
    </xdr:to>
    <xdr:graphicFrame>
      <xdr:nvGraphicFramePr>
        <xdr:cNvPr id="6" name="Gráfico 5"/>
        <xdr:cNvGraphicFramePr/>
      </xdr:nvGraphicFramePr>
      <xdr:xfrm>
        <a:off x="12917805" y="137160"/>
        <a:ext cx="6084570" cy="462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184543</xdr:colOff>
      <xdr:row>0</xdr:row>
      <xdr:rowOff>80960</xdr:rowOff>
    </xdr:from>
    <xdr:to>
      <xdr:col>10</xdr:col>
      <xdr:colOff>539749</xdr:colOff>
      <xdr:row>22</xdr:row>
      <xdr:rowOff>1322</xdr:rowOff>
    </xdr:to>
    <xdr:graphicFrame>
      <xdr:nvGraphicFramePr>
        <xdr:cNvPr id="11" name="Gráfico 10"/>
        <xdr:cNvGraphicFramePr/>
      </xdr:nvGraphicFramePr>
      <xdr:xfrm>
        <a:off x="7137400" y="80645"/>
        <a:ext cx="5641340" cy="4692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561474</xdr:colOff>
      <xdr:row>114</xdr:row>
      <xdr:rowOff>39270</xdr:rowOff>
    </xdr:from>
    <xdr:to>
      <xdr:col>13</xdr:col>
      <xdr:colOff>300790</xdr:colOff>
      <xdr:row>129</xdr:row>
      <xdr:rowOff>150395</xdr:rowOff>
    </xdr:to>
    <xdr:graphicFrame>
      <xdr:nvGraphicFramePr>
        <xdr:cNvPr id="4" name="Gráfico 3"/>
        <xdr:cNvGraphicFramePr/>
      </xdr:nvGraphicFramePr>
      <xdr:xfrm>
        <a:off x="8543290" y="23155910"/>
        <a:ext cx="6549390" cy="3140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114</xdr:row>
      <xdr:rowOff>67677</xdr:rowOff>
    </xdr:from>
    <xdr:to>
      <xdr:col>18</xdr:col>
      <xdr:colOff>317500</xdr:colOff>
      <xdr:row>128</xdr:row>
      <xdr:rowOff>50132</xdr:rowOff>
    </xdr:to>
    <xdr:graphicFrame>
      <xdr:nvGraphicFramePr>
        <xdr:cNvPr id="5" name="Gráfico 4"/>
        <xdr:cNvGraphicFramePr/>
      </xdr:nvGraphicFramePr>
      <xdr:xfrm>
        <a:off x="15659100" y="23184485"/>
        <a:ext cx="6280150" cy="28206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929821</xdr:colOff>
      <xdr:row>135</xdr:row>
      <xdr:rowOff>0</xdr:rowOff>
    </xdr:from>
    <xdr:to>
      <xdr:col>13</xdr:col>
      <xdr:colOff>374196</xdr:colOff>
      <xdr:row>153</xdr:row>
      <xdr:rowOff>90713</xdr:rowOff>
    </xdr:to>
    <xdr:graphicFrame>
      <xdr:nvGraphicFramePr>
        <xdr:cNvPr id="6" name="Gráfico 5"/>
        <xdr:cNvGraphicFramePr/>
      </xdr:nvGraphicFramePr>
      <xdr:xfrm>
        <a:off x="8911590" y="27289125"/>
        <a:ext cx="6254750" cy="34810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381000</xdr:colOff>
      <xdr:row>135</xdr:row>
      <xdr:rowOff>90237</xdr:rowOff>
    </xdr:from>
    <xdr:to>
      <xdr:col>17</xdr:col>
      <xdr:colOff>380999</xdr:colOff>
      <xdr:row>151</xdr:row>
      <xdr:rowOff>45832</xdr:rowOff>
    </xdr:to>
    <xdr:graphicFrame>
      <xdr:nvGraphicFramePr>
        <xdr:cNvPr id="7" name="Gráfico 6"/>
        <xdr:cNvGraphicFramePr/>
      </xdr:nvGraphicFramePr>
      <xdr:xfrm>
        <a:off x="15935325" y="27379295"/>
        <a:ext cx="5304790" cy="29654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709083</xdr:colOff>
      <xdr:row>0</xdr:row>
      <xdr:rowOff>116419</xdr:rowOff>
    </xdr:from>
    <xdr:to>
      <xdr:col>14</xdr:col>
      <xdr:colOff>994832</xdr:colOff>
      <xdr:row>17</xdr:row>
      <xdr:rowOff>98779</xdr:rowOff>
    </xdr:to>
    <xdr:graphicFrame>
      <xdr:nvGraphicFramePr>
        <xdr:cNvPr id="8" name="Gráfico 7"/>
        <xdr:cNvGraphicFramePr/>
      </xdr:nvGraphicFramePr>
      <xdr:xfrm>
        <a:off x="10166985" y="116205"/>
        <a:ext cx="6381750" cy="3639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1597358</xdr:colOff>
      <xdr:row>0</xdr:row>
      <xdr:rowOff>163597</xdr:rowOff>
    </xdr:from>
    <xdr:to>
      <xdr:col>19</xdr:col>
      <xdr:colOff>455082</xdr:colOff>
      <xdr:row>17</xdr:row>
      <xdr:rowOff>88901</xdr:rowOff>
    </xdr:to>
    <xdr:graphicFrame>
      <xdr:nvGraphicFramePr>
        <xdr:cNvPr id="9" name="Gráfico 8"/>
        <xdr:cNvGraphicFramePr/>
      </xdr:nvGraphicFramePr>
      <xdr:xfrm>
        <a:off x="17151350" y="163195"/>
        <a:ext cx="5687060" cy="35833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862264</xdr:colOff>
      <xdr:row>155</xdr:row>
      <xdr:rowOff>69385</xdr:rowOff>
    </xdr:from>
    <xdr:to>
      <xdr:col>14</xdr:col>
      <xdr:colOff>110289</xdr:colOff>
      <xdr:row>178</xdr:row>
      <xdr:rowOff>142635</xdr:rowOff>
    </xdr:to>
    <xdr:graphicFrame>
      <xdr:nvGraphicFramePr>
        <xdr:cNvPr id="10" name="Gráfico 9"/>
        <xdr:cNvGraphicFramePr/>
      </xdr:nvGraphicFramePr>
      <xdr:xfrm>
        <a:off x="8843645" y="31130240"/>
        <a:ext cx="6820535" cy="4445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647114</xdr:colOff>
      <xdr:row>155</xdr:row>
      <xdr:rowOff>117807</xdr:rowOff>
    </xdr:from>
    <xdr:to>
      <xdr:col>19</xdr:col>
      <xdr:colOff>637089</xdr:colOff>
      <xdr:row>183</xdr:row>
      <xdr:rowOff>37599</xdr:rowOff>
    </xdr:to>
    <xdr:graphicFrame>
      <xdr:nvGraphicFramePr>
        <xdr:cNvPr id="11" name="Gráfico 10"/>
        <xdr:cNvGraphicFramePr/>
      </xdr:nvGraphicFramePr>
      <xdr:xfrm>
        <a:off x="16201390" y="31178500"/>
        <a:ext cx="6819265" cy="52444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501650</xdr:colOff>
      <xdr:row>52</xdr:row>
      <xdr:rowOff>0</xdr:rowOff>
    </xdr:from>
    <xdr:to>
      <xdr:col>14</xdr:col>
      <xdr:colOff>819150</xdr:colOff>
      <xdr:row>73</xdr:row>
      <xdr:rowOff>0</xdr:rowOff>
    </xdr:to>
    <xdr:graphicFrame>
      <xdr:nvGraphicFramePr>
        <xdr:cNvPr id="12" name="Gráfico 11"/>
        <xdr:cNvGraphicFramePr/>
      </xdr:nvGraphicFramePr>
      <xdr:xfrm>
        <a:off x="9959975" y="10353675"/>
        <a:ext cx="6413500" cy="4495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1111250</xdr:colOff>
      <xdr:row>52</xdr:row>
      <xdr:rowOff>82214</xdr:rowOff>
    </xdr:from>
    <xdr:to>
      <xdr:col>18</xdr:col>
      <xdr:colOff>92242</xdr:colOff>
      <xdr:row>72</xdr:row>
      <xdr:rowOff>158750</xdr:rowOff>
    </xdr:to>
    <xdr:graphicFrame>
      <xdr:nvGraphicFramePr>
        <xdr:cNvPr id="18" name="Gráfico 17"/>
        <xdr:cNvGraphicFramePr/>
      </xdr:nvGraphicFramePr>
      <xdr:xfrm>
        <a:off x="16665575" y="10435590"/>
        <a:ext cx="5048250" cy="43916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1464087</xdr:colOff>
      <xdr:row>1</xdr:row>
      <xdr:rowOff>242816</xdr:rowOff>
    </xdr:from>
    <xdr:to>
      <xdr:col>26</xdr:col>
      <xdr:colOff>317501</xdr:colOff>
      <xdr:row>24</xdr:row>
      <xdr:rowOff>27608</xdr:rowOff>
    </xdr:to>
    <xdr:graphicFrame>
      <xdr:nvGraphicFramePr>
        <xdr:cNvPr id="2" name="Gráfico 1"/>
        <xdr:cNvGraphicFramePr/>
      </xdr:nvGraphicFramePr>
      <xdr:xfrm>
        <a:off x="15392400" y="433070"/>
        <a:ext cx="9699625" cy="4328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58</xdr:row>
      <xdr:rowOff>193259</xdr:rowOff>
    </xdr:from>
    <xdr:to>
      <xdr:col>21</xdr:col>
      <xdr:colOff>524567</xdr:colOff>
      <xdr:row>70</xdr:row>
      <xdr:rowOff>193261</xdr:rowOff>
    </xdr:to>
    <xdr:graphicFrame>
      <xdr:nvGraphicFramePr>
        <xdr:cNvPr id="3" name="Gráfico 2"/>
        <xdr:cNvGraphicFramePr/>
      </xdr:nvGraphicFramePr>
      <xdr:xfrm>
        <a:off x="13782675" y="12639675"/>
        <a:ext cx="7372985" cy="51936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429659</xdr:colOff>
      <xdr:row>30</xdr:row>
      <xdr:rowOff>47624</xdr:rowOff>
    </xdr:from>
    <xdr:to>
      <xdr:col>27</xdr:col>
      <xdr:colOff>142874</xdr:colOff>
      <xdr:row>52</xdr:row>
      <xdr:rowOff>11905</xdr:rowOff>
    </xdr:to>
    <xdr:graphicFrame>
      <xdr:nvGraphicFramePr>
        <xdr:cNvPr id="5" name="Gráfico 4"/>
        <xdr:cNvGraphicFramePr/>
      </xdr:nvGraphicFramePr>
      <xdr:xfrm>
        <a:off x="16783685" y="5923915"/>
        <a:ext cx="9009380" cy="52412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40029</xdr:colOff>
      <xdr:row>59</xdr:row>
      <xdr:rowOff>27610</xdr:rowOff>
    </xdr:from>
    <xdr:to>
      <xdr:col>33</xdr:col>
      <xdr:colOff>441738</xdr:colOff>
      <xdr:row>69</xdr:row>
      <xdr:rowOff>372717</xdr:rowOff>
    </xdr:to>
    <xdr:graphicFrame>
      <xdr:nvGraphicFramePr>
        <xdr:cNvPr id="8" name="Gráfico 7"/>
        <xdr:cNvGraphicFramePr/>
      </xdr:nvGraphicFramePr>
      <xdr:xfrm>
        <a:off x="23071455" y="12666980"/>
        <a:ext cx="8278495" cy="49644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9524</xdr:colOff>
      <xdr:row>23</xdr:row>
      <xdr:rowOff>9525</xdr:rowOff>
    </xdr:from>
    <xdr:to>
      <xdr:col>1</xdr:col>
      <xdr:colOff>1304925</xdr:colOff>
      <xdr:row>25</xdr:row>
      <xdr:rowOff>19050</xdr:rowOff>
    </xdr:to>
    <xdr:pic>
      <xdr:nvPicPr>
        <xdr:cNvPr id="2" name="Imagen 1"/>
        <xdr:cNvPicPr/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97" b="88430"/>
        <a:stretch>
          <a:fillRect/>
        </a:stretch>
      </xdr:blipFill>
      <xdr:spPr>
        <a:xfrm>
          <a:off x="770890" y="5410200"/>
          <a:ext cx="1296035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</xdr:colOff>
      <xdr:row>30</xdr:row>
      <xdr:rowOff>11120</xdr:rowOff>
    </xdr:from>
    <xdr:to>
      <xdr:col>2</xdr:col>
      <xdr:colOff>19049</xdr:colOff>
      <xdr:row>31</xdr:row>
      <xdr:rowOff>171450</xdr:rowOff>
    </xdr:to>
    <xdr:pic>
      <xdr:nvPicPr>
        <xdr:cNvPr id="5" name="Imagen 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80415" y="6735445"/>
          <a:ext cx="1323975" cy="3606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37</xdr:row>
      <xdr:rowOff>20045</xdr:rowOff>
    </xdr:from>
    <xdr:to>
      <xdr:col>2</xdr:col>
      <xdr:colOff>47625</xdr:colOff>
      <xdr:row>38</xdr:row>
      <xdr:rowOff>171450</xdr:rowOff>
    </xdr:to>
    <xdr:pic>
      <xdr:nvPicPr>
        <xdr:cNvPr id="6" name="Imagen 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81050" y="8106410"/>
          <a:ext cx="1352550" cy="35179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0</xdr:row>
      <xdr:rowOff>52388</xdr:rowOff>
    </xdr:from>
    <xdr:to>
      <xdr:col>7</xdr:col>
      <xdr:colOff>466725</xdr:colOff>
      <xdr:row>9</xdr:row>
      <xdr:rowOff>57150</xdr:rowOff>
    </xdr:to>
    <xdr:graphicFrame>
      <xdr:nvGraphicFramePr>
        <xdr:cNvPr id="4" name="Gráfico 3"/>
        <xdr:cNvGraphicFramePr/>
      </xdr:nvGraphicFramePr>
      <xdr:xfrm>
        <a:off x="4133850" y="52070"/>
        <a:ext cx="2638425" cy="2462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466724</xdr:colOff>
      <xdr:row>0</xdr:row>
      <xdr:rowOff>33337</xdr:rowOff>
    </xdr:from>
    <xdr:to>
      <xdr:col>12</xdr:col>
      <xdr:colOff>647699</xdr:colOff>
      <xdr:row>8</xdr:row>
      <xdr:rowOff>447675</xdr:rowOff>
    </xdr:to>
    <xdr:graphicFrame>
      <xdr:nvGraphicFramePr>
        <xdr:cNvPr id="8" name="Gráfico 7"/>
        <xdr:cNvGraphicFramePr/>
      </xdr:nvGraphicFramePr>
      <xdr:xfrm>
        <a:off x="8257540" y="33020"/>
        <a:ext cx="2695575" cy="23958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1076324</xdr:colOff>
      <xdr:row>10</xdr:row>
      <xdr:rowOff>180974</xdr:rowOff>
    </xdr:from>
    <xdr:to>
      <xdr:col>8</xdr:col>
      <xdr:colOff>304800</xdr:colOff>
      <xdr:row>22</xdr:row>
      <xdr:rowOff>38100</xdr:rowOff>
    </xdr:to>
    <xdr:graphicFrame>
      <xdr:nvGraphicFramePr>
        <xdr:cNvPr id="3" name="Gráfico 2"/>
        <xdr:cNvGraphicFramePr/>
      </xdr:nvGraphicFramePr>
      <xdr:xfrm>
        <a:off x="4076700" y="2828290"/>
        <a:ext cx="3276600" cy="24104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761998</xdr:colOff>
      <xdr:row>51</xdr:row>
      <xdr:rowOff>0</xdr:rowOff>
    </xdr:from>
    <xdr:to>
      <xdr:col>24</xdr:col>
      <xdr:colOff>238124</xdr:colOff>
      <xdr:row>66</xdr:row>
      <xdr:rowOff>19050</xdr:rowOff>
    </xdr:to>
    <xdr:graphicFrame>
      <xdr:nvGraphicFramePr>
        <xdr:cNvPr id="10" name="Gráfico 9"/>
        <xdr:cNvGraphicFramePr/>
      </xdr:nvGraphicFramePr>
      <xdr:xfrm>
        <a:off x="13601065" y="10763250"/>
        <a:ext cx="7734300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11</xdr:row>
      <xdr:rowOff>0</xdr:rowOff>
    </xdr:from>
    <xdr:to>
      <xdr:col>13</xdr:col>
      <xdr:colOff>266701</xdr:colOff>
      <xdr:row>22</xdr:row>
      <xdr:rowOff>47626</xdr:rowOff>
    </xdr:to>
    <xdr:graphicFrame>
      <xdr:nvGraphicFramePr>
        <xdr:cNvPr id="13" name="Gráfico 12"/>
        <xdr:cNvGraphicFramePr/>
      </xdr:nvGraphicFramePr>
      <xdr:xfrm>
        <a:off x="7791450" y="2838450"/>
        <a:ext cx="3667125" cy="24098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7"/>
  <sheetViews>
    <sheetView tabSelected="1" zoomScale="80" zoomScaleNormal="80" topLeftCell="A36" workbookViewId="0">
      <selection activeCell="C72" sqref="C72"/>
    </sheetView>
  </sheetViews>
  <sheetFormatPr defaultColWidth="11.4285714285714" defaultRowHeight="15"/>
  <cols>
    <col min="2" max="2" width="47" customWidth="1"/>
    <col min="3" max="3" width="24.2857142857143" customWidth="1"/>
    <col min="4" max="4" width="21.5714285714286" customWidth="1"/>
    <col min="5" max="5" width="14.7142857142857" customWidth="1"/>
    <col min="6" max="6" width="21.5714285714286" customWidth="1"/>
    <col min="7" max="7" width="10.4285714285714" customWidth="1"/>
    <col min="9" max="9" width="9.71428571428571" customWidth="1"/>
    <col min="11" max="11" width="20.1428571428571" customWidth="1"/>
    <col min="14" max="14" width="7.71428571428571" customWidth="1"/>
    <col min="15" max="15" width="11.2857142857143" customWidth="1"/>
    <col min="16" max="16" width="9.57142857142857" customWidth="1"/>
    <col min="17" max="17" width="9.28571428571429" customWidth="1"/>
    <col min="18" max="18" width="9.14285714285714" customWidth="1"/>
  </cols>
  <sheetData>
    <row r="1" ht="36.75" customHeight="1" spans="1:4">
      <c r="B1" s="433" t="s">
        <v>0</v>
      </c>
      <c r="C1" s="434"/>
      <c r="D1" s="435"/>
    </row>
    <row r="2" ht="30" spans="1:4">
      <c r="B2" s="436" t="s">
        <v>1</v>
      </c>
      <c r="C2" s="415" t="s">
        <v>2</v>
      </c>
      <c r="D2" s="437" t="s">
        <v>3</v>
      </c>
    </row>
    <row r="3" ht="15.75" customHeight="1" spans="1:4">
      <c r="B3" s="332" t="s">
        <v>4</v>
      </c>
      <c r="C3" s="438">
        <v>21462</v>
      </c>
      <c r="D3" s="439">
        <v>6158</v>
      </c>
    </row>
    <row r="4" ht="15.75" customHeight="1" spans="1:4">
      <c r="B4" s="332" t="s">
        <v>5</v>
      </c>
      <c r="C4" s="438">
        <v>8042</v>
      </c>
      <c r="D4" s="440">
        <v>881</v>
      </c>
    </row>
    <row r="5" ht="15.75" customHeight="1" spans="1:4">
      <c r="B5" s="332" t="s">
        <v>6</v>
      </c>
      <c r="C5" s="438">
        <v>6060</v>
      </c>
      <c r="D5" s="440">
        <v>0</v>
      </c>
    </row>
    <row r="6" ht="15.75" customHeight="1" spans="1:4">
      <c r="B6" s="332" t="s">
        <v>7</v>
      </c>
      <c r="C6" s="438">
        <v>1742</v>
      </c>
      <c r="D6" s="440">
        <v>621</v>
      </c>
    </row>
    <row r="7" ht="15.75" customHeight="1" spans="1:4">
      <c r="B7" s="332" t="s">
        <v>8</v>
      </c>
      <c r="C7" s="441"/>
      <c r="D7" s="440">
        <v>0</v>
      </c>
    </row>
    <row r="8" ht="15.75" customHeight="1" spans="1:4">
      <c r="B8" s="332" t="s">
        <v>9</v>
      </c>
      <c r="C8" s="441"/>
      <c r="D8" s="440">
        <v>0</v>
      </c>
    </row>
    <row r="9" ht="15.75" customHeight="1" spans="1:4">
      <c r="B9" s="332" t="s">
        <v>10</v>
      </c>
      <c r="C9" s="440"/>
      <c r="D9" s="440">
        <v>4858</v>
      </c>
    </row>
    <row r="10" ht="15.75" customHeight="1" spans="1:4">
      <c r="B10" s="442" t="s">
        <v>11</v>
      </c>
      <c r="C10" s="443">
        <f>SUM(C3:C9)</f>
        <v>37306</v>
      </c>
      <c r="D10" s="443">
        <f>SUM(D3:D9)</f>
        <v>12518</v>
      </c>
    </row>
    <row r="11" ht="15.75" customHeight="1" spans="1:4">
      <c r="A11" s="444"/>
      <c r="B11" s="442" t="s">
        <v>12</v>
      </c>
      <c r="C11" s="445">
        <f>68</f>
        <v>68</v>
      </c>
      <c r="D11" s="445">
        <v>0</v>
      </c>
    </row>
    <row r="12" ht="15.75" customHeight="1" spans="1:4">
      <c r="B12" s="442" t="s">
        <v>13</v>
      </c>
      <c r="C12" s="443">
        <f>C10+C11</f>
        <v>37374</v>
      </c>
      <c r="D12" s="443">
        <f>D10+D11</f>
        <v>12518</v>
      </c>
    </row>
    <row r="13" ht="15.75" customHeight="1" spans="1:4">
      <c r="B13" s="446" t="s">
        <v>14</v>
      </c>
      <c r="C13" s="447">
        <f>C12+D12</f>
        <v>49892</v>
      </c>
      <c r="D13" s="448"/>
    </row>
    <row r="14" spans="1:4">
      <c r="C14" s="233"/>
      <c r="D14" s="233"/>
    </row>
    <row r="15" spans="1:4">
      <c r="D15" s="233"/>
    </row>
    <row r="16" spans="1:4">
      <c r="B16" s="436" t="s">
        <v>1</v>
      </c>
      <c r="C16" s="415" t="s">
        <v>2</v>
      </c>
    </row>
    <row r="17" spans="2:25">
      <c r="B17" s="332" t="s">
        <v>4</v>
      </c>
      <c r="C17" s="449">
        <f>C3</f>
        <v>21462</v>
      </c>
      <c r="D17" s="249">
        <f>C17/$C$24</f>
        <v>0.575296199002841</v>
      </c>
    </row>
    <row r="18" ht="15.75" spans="2:25">
      <c r="B18" s="332" t="s">
        <v>5</v>
      </c>
      <c r="C18" s="449">
        <f>C4</f>
        <v>8042</v>
      </c>
      <c r="D18" s="249">
        <f t="shared" ref="D18:D23" si="0">C18/$C$24</f>
        <v>0.215568541253418</v>
      </c>
      <c r="O18" s="450"/>
      <c r="P18" s="451"/>
      <c r="Q18" s="451"/>
      <c r="R18" s="450"/>
      <c r="S18" s="451"/>
      <c r="T18" s="451"/>
      <c r="U18" s="444"/>
      <c r="V18" s="444"/>
      <c r="W18" s="444"/>
      <c r="X18" s="444"/>
      <c r="Y18" s="444"/>
    </row>
    <row r="19" spans="2:25">
      <c r="B19" s="332" t="s">
        <v>6</v>
      </c>
      <c r="C19" s="449">
        <f>C5</f>
        <v>6060</v>
      </c>
      <c r="D19" s="249">
        <f t="shared" si="0"/>
        <v>0.162440358119337</v>
      </c>
      <c r="O19" s="452"/>
      <c r="P19" s="453"/>
      <c r="Q19" s="453"/>
      <c r="R19" s="452"/>
      <c r="S19" s="453"/>
      <c r="T19" s="453"/>
      <c r="U19" s="444"/>
      <c r="V19" s="444"/>
      <c r="W19" s="444"/>
      <c r="X19" s="444"/>
      <c r="Y19" s="444"/>
    </row>
    <row r="20" spans="2:25">
      <c r="B20" s="332" t="s">
        <v>7</v>
      </c>
      <c r="C20" s="449">
        <f>C6</f>
        <v>1742</v>
      </c>
      <c r="D20" s="249">
        <f t="shared" si="0"/>
        <v>0.0466949016244036</v>
      </c>
      <c r="O20" s="452"/>
      <c r="P20" s="454"/>
      <c r="Q20" s="454"/>
      <c r="R20" s="452"/>
      <c r="S20" s="454"/>
      <c r="T20" s="454"/>
      <c r="U20" s="444"/>
      <c r="V20" s="444"/>
      <c r="W20" s="444"/>
      <c r="X20" s="444"/>
      <c r="Y20" s="444"/>
    </row>
    <row r="21" spans="2:25">
      <c r="B21" s="332" t="s">
        <v>10</v>
      </c>
      <c r="C21" s="449">
        <v>0</v>
      </c>
      <c r="D21" s="249">
        <f t="shared" si="0"/>
        <v>0</v>
      </c>
      <c r="O21" s="452"/>
      <c r="P21" s="454"/>
      <c r="Q21" s="454"/>
      <c r="R21" s="452"/>
      <c r="S21" s="454"/>
      <c r="T21" s="454"/>
      <c r="U21" s="444"/>
      <c r="V21" s="444"/>
      <c r="W21" s="444"/>
      <c r="X21" s="444"/>
      <c r="Y21" s="444"/>
    </row>
    <row r="22" spans="2:25">
      <c r="B22" s="332" t="s">
        <v>8</v>
      </c>
      <c r="C22" s="449">
        <f>C7</f>
        <v>0</v>
      </c>
      <c r="D22" s="249">
        <f t="shared" si="0"/>
        <v>0</v>
      </c>
      <c r="O22" s="452"/>
      <c r="P22" s="453"/>
      <c r="Q22" s="453"/>
      <c r="R22" s="452"/>
      <c r="S22" s="453"/>
      <c r="T22" s="453"/>
      <c r="U22" s="444"/>
      <c r="V22" s="444"/>
      <c r="W22" s="444"/>
      <c r="X22" s="444"/>
      <c r="Y22" s="444"/>
    </row>
    <row r="23" spans="2:25">
      <c r="B23" s="332" t="s">
        <v>9</v>
      </c>
      <c r="C23" s="344">
        <f>+C8</f>
        <v>0</v>
      </c>
      <c r="D23" s="249">
        <f t="shared" si="0"/>
        <v>0</v>
      </c>
      <c r="O23" s="452"/>
      <c r="P23" s="453"/>
      <c r="Q23" s="453"/>
      <c r="R23" s="452"/>
      <c r="S23" s="453"/>
      <c r="T23" s="453"/>
      <c r="U23" s="444"/>
      <c r="V23" s="444"/>
      <c r="W23" s="444"/>
      <c r="X23" s="444"/>
      <c r="Y23" s="444"/>
    </row>
    <row r="24" spans="2:25">
      <c r="B24" s="442" t="s">
        <v>15</v>
      </c>
      <c r="C24" s="443">
        <f>SUM(C17:C23)</f>
        <v>37306</v>
      </c>
      <c r="D24" s="233"/>
      <c r="O24" s="452"/>
      <c r="P24" s="453"/>
      <c r="Q24" s="453"/>
      <c r="R24" s="452"/>
      <c r="S24" s="453"/>
      <c r="T24" s="453"/>
      <c r="U24" s="444"/>
      <c r="V24" s="444"/>
      <c r="W24" s="444"/>
      <c r="X24" s="444"/>
      <c r="Y24" s="444"/>
    </row>
    <row r="25" spans="2:25">
      <c r="D25" s="233"/>
      <c r="O25" s="452"/>
      <c r="P25" s="453"/>
      <c r="Q25" s="453"/>
      <c r="R25" s="452"/>
      <c r="S25" s="453"/>
      <c r="T25" s="453"/>
      <c r="U25" s="444"/>
      <c r="V25" s="444"/>
      <c r="W25" s="444"/>
      <c r="X25" s="444"/>
      <c r="Y25" s="444"/>
    </row>
    <row r="26" spans="2:25">
      <c r="C26" s="233"/>
      <c r="E26" s="233"/>
      <c r="O26" s="452"/>
      <c r="P26" s="454"/>
      <c r="Q26" s="454"/>
      <c r="R26" s="452"/>
      <c r="S26" s="454"/>
      <c r="T26" s="454"/>
      <c r="U26" s="444"/>
      <c r="V26" s="444"/>
      <c r="W26" s="444"/>
      <c r="X26" s="444"/>
      <c r="Y26" s="444"/>
    </row>
    <row r="27" spans="2:25">
      <c r="B27" s="436" t="s">
        <v>1</v>
      </c>
      <c r="C27" s="455" t="s">
        <v>3</v>
      </c>
      <c r="O27" s="452"/>
      <c r="P27" s="454"/>
      <c r="Q27" s="454"/>
      <c r="R27" s="452"/>
      <c r="S27" s="454"/>
      <c r="T27" s="454"/>
      <c r="U27" s="444"/>
      <c r="V27" s="444"/>
      <c r="W27" s="444"/>
      <c r="X27" s="444"/>
      <c r="Y27" s="444"/>
    </row>
    <row r="28" spans="2:25">
      <c r="B28" s="332" t="s">
        <v>4</v>
      </c>
      <c r="C28" s="449">
        <f>D3</f>
        <v>6158</v>
      </c>
      <c r="D28" s="249">
        <f>C28/$C$35</f>
        <v>0.491931618469404</v>
      </c>
      <c r="E28" s="233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</row>
    <row r="29" spans="2:25">
      <c r="B29" s="332" t="s">
        <v>10</v>
      </c>
      <c r="C29" s="449">
        <f>D9</f>
        <v>4858</v>
      </c>
      <c r="D29" s="249">
        <f t="shared" ref="D29:D34" si="1">C29/$C$35</f>
        <v>0.3880811631251</v>
      </c>
      <c r="O29" s="444"/>
      <c r="P29" s="444"/>
      <c r="Q29" s="444"/>
      <c r="R29" s="444"/>
      <c r="S29" s="444"/>
      <c r="T29" s="444"/>
      <c r="U29" s="444"/>
      <c r="V29" s="444"/>
      <c r="W29" s="444"/>
      <c r="X29" s="444"/>
      <c r="Y29" s="444"/>
    </row>
    <row r="30" spans="2:25">
      <c r="B30" s="332" t="s">
        <v>5</v>
      </c>
      <c r="C30" s="449">
        <f>D4</f>
        <v>881</v>
      </c>
      <c r="D30" s="249">
        <f t="shared" si="1"/>
        <v>0.0703786547371785</v>
      </c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</row>
    <row r="31" spans="2:25">
      <c r="B31" s="332" t="s">
        <v>6</v>
      </c>
      <c r="C31" s="449">
        <f>+D5</f>
        <v>0</v>
      </c>
      <c r="D31" s="249">
        <f t="shared" si="1"/>
        <v>0</v>
      </c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</row>
    <row r="32" spans="2:25">
      <c r="B32" s="332" t="s">
        <v>7</v>
      </c>
      <c r="C32" s="449">
        <f>D6</f>
        <v>621</v>
      </c>
      <c r="D32" s="249">
        <f t="shared" si="1"/>
        <v>0.0496085636683176</v>
      </c>
      <c r="O32" s="444"/>
      <c r="P32" s="444"/>
      <c r="Q32" s="444"/>
      <c r="R32" s="444"/>
      <c r="S32" s="444"/>
      <c r="T32" s="444"/>
      <c r="U32" s="444"/>
      <c r="V32" s="444"/>
      <c r="W32" s="444"/>
      <c r="X32" s="444"/>
      <c r="Y32" s="444"/>
    </row>
    <row r="33" spans="2:25">
      <c r="B33" s="332" t="s">
        <v>8</v>
      </c>
      <c r="C33" s="449">
        <f>+D7</f>
        <v>0</v>
      </c>
      <c r="D33" s="249">
        <f t="shared" si="1"/>
        <v>0</v>
      </c>
      <c r="O33" s="444"/>
      <c r="P33" s="444"/>
      <c r="Q33" s="444"/>
      <c r="R33" s="444"/>
      <c r="S33" s="444"/>
      <c r="T33" s="444"/>
      <c r="U33" s="444"/>
      <c r="V33" s="444"/>
      <c r="W33" s="444"/>
      <c r="X33" s="444"/>
      <c r="Y33" s="444"/>
    </row>
    <row r="34" spans="2:25">
      <c r="B34" s="332" t="s">
        <v>16</v>
      </c>
      <c r="C34" s="449">
        <v>0</v>
      </c>
      <c r="D34" s="249">
        <f t="shared" si="1"/>
        <v>0</v>
      </c>
      <c r="O34" s="444"/>
      <c r="P34" s="444"/>
      <c r="Q34" s="444"/>
      <c r="R34" s="444"/>
      <c r="S34" s="444"/>
      <c r="T34" s="444"/>
      <c r="U34" s="444"/>
      <c r="V34" s="444"/>
      <c r="W34" s="444"/>
      <c r="X34" s="444"/>
      <c r="Y34" s="444"/>
    </row>
    <row r="35" spans="2:25">
      <c r="B35" s="442" t="s">
        <v>15</v>
      </c>
      <c r="C35" s="443">
        <f>SUM(C27:C34)</f>
        <v>12518</v>
      </c>
      <c r="O35" s="444"/>
      <c r="P35" s="444"/>
      <c r="Q35" s="444"/>
      <c r="R35" s="444"/>
      <c r="S35" s="444"/>
      <c r="T35" s="444"/>
      <c r="U35" s="444"/>
      <c r="V35" s="444"/>
      <c r="W35" s="444"/>
      <c r="X35" s="444"/>
      <c r="Y35" s="444"/>
    </row>
    <row r="36" spans="2:25">
      <c r="D36" s="233"/>
      <c r="O36" s="444"/>
      <c r="P36" s="444"/>
      <c r="Q36" s="444"/>
      <c r="R36" s="444"/>
      <c r="S36" s="444"/>
      <c r="T36" s="444"/>
      <c r="U36" s="444"/>
      <c r="V36" s="444"/>
      <c r="W36" s="444"/>
      <c r="X36" s="444"/>
      <c r="Y36" s="444"/>
    </row>
    <row r="37" ht="15.75" spans="2:25">
      <c r="D37" s="233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</row>
    <row r="38" ht="27" customHeight="1" spans="2:25">
      <c r="B38" s="456" t="s">
        <v>17</v>
      </c>
      <c r="C38" s="457"/>
      <c r="D38" s="458"/>
      <c r="O38" s="444"/>
      <c r="P38" s="444"/>
      <c r="Q38" s="444"/>
      <c r="R38" s="444"/>
      <c r="S38" s="444"/>
      <c r="T38" s="444"/>
      <c r="U38" s="444"/>
      <c r="V38" s="444"/>
      <c r="W38" s="444"/>
      <c r="X38" s="444"/>
      <c r="Y38" s="444"/>
    </row>
    <row r="39" ht="30" spans="2:25">
      <c r="B39" s="459" t="s">
        <v>1</v>
      </c>
      <c r="C39" s="415" t="s">
        <v>2</v>
      </c>
      <c r="D39" s="460" t="s">
        <v>3</v>
      </c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</row>
    <row r="40" spans="2:25">
      <c r="B40" s="341" t="s">
        <v>4</v>
      </c>
      <c r="C40" s="461">
        <v>27563</v>
      </c>
      <c r="D40" s="462">
        <v>845</v>
      </c>
      <c r="O40" s="444"/>
      <c r="P40" s="444"/>
      <c r="Q40" s="444"/>
      <c r="R40" s="444"/>
      <c r="S40" s="444"/>
      <c r="T40" s="444"/>
      <c r="U40" s="444"/>
      <c r="V40" s="444"/>
      <c r="W40" s="444"/>
      <c r="X40" s="444"/>
      <c r="Y40" s="444"/>
    </row>
    <row r="41" spans="2:25">
      <c r="B41" s="341" t="s">
        <v>5</v>
      </c>
      <c r="C41" s="461">
        <v>9361</v>
      </c>
      <c r="D41" s="463">
        <v>0</v>
      </c>
      <c r="O41" s="444"/>
      <c r="P41" s="444"/>
      <c r="Q41" s="444"/>
      <c r="R41" s="444"/>
      <c r="S41" s="444"/>
      <c r="T41" s="444"/>
      <c r="U41" s="444"/>
      <c r="V41" s="444"/>
      <c r="W41" s="444"/>
      <c r="X41" s="444"/>
      <c r="Y41" s="444"/>
    </row>
    <row r="42" spans="2:25">
      <c r="B42" s="341" t="s">
        <v>6</v>
      </c>
      <c r="C42" s="461">
        <v>6141</v>
      </c>
      <c r="D42" s="463">
        <v>0</v>
      </c>
      <c r="O42" s="444"/>
      <c r="P42" s="444"/>
      <c r="Q42" s="444"/>
      <c r="R42" s="444"/>
      <c r="S42" s="444"/>
      <c r="T42" s="444"/>
      <c r="U42" s="444"/>
      <c r="V42" s="444"/>
      <c r="W42" s="444"/>
      <c r="X42" s="444"/>
      <c r="Y42" s="444"/>
    </row>
    <row r="43" spans="2:25">
      <c r="B43" s="341" t="s">
        <v>7</v>
      </c>
      <c r="C43" s="461">
        <v>1557</v>
      </c>
      <c r="D43" s="463">
        <v>0</v>
      </c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</row>
    <row r="44" spans="2:25">
      <c r="B44" s="341" t="s">
        <v>8</v>
      </c>
      <c r="C44" s="461">
        <v>57</v>
      </c>
      <c r="D44" s="463">
        <v>9</v>
      </c>
      <c r="O44" s="444"/>
      <c r="P44" s="444"/>
      <c r="Q44" s="444"/>
      <c r="R44" s="444"/>
      <c r="S44" s="444"/>
      <c r="T44" s="444"/>
      <c r="U44" s="444"/>
      <c r="V44" s="444"/>
      <c r="W44" s="444"/>
      <c r="X44" s="444"/>
      <c r="Y44" s="444"/>
    </row>
    <row r="45" spans="2:25">
      <c r="B45" s="341" t="s">
        <v>9</v>
      </c>
      <c r="C45" s="440">
        <v>0</v>
      </c>
      <c r="D45" s="463">
        <v>0</v>
      </c>
      <c r="O45" s="444"/>
      <c r="P45" s="444"/>
      <c r="Q45" s="444"/>
      <c r="R45" s="444"/>
      <c r="S45" s="444"/>
      <c r="T45" s="444"/>
      <c r="U45" s="444"/>
      <c r="V45" s="444"/>
      <c r="W45" s="444"/>
      <c r="X45" s="444"/>
      <c r="Y45" s="444"/>
    </row>
    <row r="46" spans="2:25">
      <c r="B46" s="341" t="s">
        <v>10</v>
      </c>
      <c r="C46" s="440">
        <v>0</v>
      </c>
      <c r="D46" s="463">
        <v>4276</v>
      </c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</row>
    <row r="47" spans="2:25">
      <c r="B47" s="464" t="s">
        <v>15</v>
      </c>
      <c r="C47" s="465">
        <f>SUM(C40:C46)</f>
        <v>44679</v>
      </c>
      <c r="D47" s="466">
        <f>SUM(D40:D46)</f>
        <v>5130</v>
      </c>
      <c r="O47" s="444"/>
      <c r="P47" s="444"/>
      <c r="Q47" s="444"/>
      <c r="R47" s="444"/>
      <c r="S47" s="444"/>
      <c r="T47" s="444"/>
      <c r="U47" s="444"/>
      <c r="V47" s="444"/>
      <c r="W47" s="444"/>
      <c r="X47" s="444"/>
      <c r="Y47" s="444"/>
    </row>
    <row r="48" spans="2:25">
      <c r="B48" s="332" t="s">
        <v>14</v>
      </c>
      <c r="C48" s="447">
        <f>C47+D47</f>
        <v>49809</v>
      </c>
      <c r="D48" s="448"/>
      <c r="E48" s="233"/>
      <c r="O48" s="444"/>
      <c r="P48" s="444"/>
      <c r="Q48" s="444"/>
      <c r="R48" s="444"/>
      <c r="S48" s="444"/>
      <c r="T48" s="444"/>
      <c r="U48" s="444"/>
      <c r="V48" s="444"/>
      <c r="W48" s="444"/>
      <c r="X48" s="444"/>
      <c r="Y48" s="444"/>
    </row>
    <row r="49" spans="2:25">
      <c r="B49" s="412"/>
      <c r="C49" s="467"/>
      <c r="D49" s="467"/>
      <c r="E49" s="233"/>
      <c r="O49" s="444"/>
      <c r="P49" s="444"/>
      <c r="Q49" s="444"/>
      <c r="R49" s="444"/>
      <c r="S49" s="444"/>
      <c r="T49" s="444"/>
      <c r="U49" s="444"/>
      <c r="V49" s="444"/>
      <c r="W49" s="444"/>
      <c r="X49" s="444"/>
      <c r="Y49" s="444"/>
    </row>
    <row r="50" ht="15.75" spans="2:25">
      <c r="D50" s="233"/>
      <c r="O50" s="444"/>
      <c r="P50" s="444"/>
      <c r="Q50" s="444"/>
      <c r="R50" s="444"/>
      <c r="S50" s="444"/>
      <c r="T50" s="444"/>
      <c r="U50" s="444"/>
      <c r="V50" s="444"/>
      <c r="W50" s="444"/>
      <c r="X50" s="444"/>
      <c r="Y50" s="444"/>
    </row>
    <row r="51" spans="2:25">
      <c r="B51" s="468" t="s">
        <v>1</v>
      </c>
      <c r="C51" s="415" t="s">
        <v>2</v>
      </c>
      <c r="O51" s="444"/>
      <c r="P51" s="444"/>
      <c r="Q51" s="444"/>
      <c r="R51" s="444"/>
      <c r="S51" s="444"/>
      <c r="T51" s="444"/>
      <c r="U51" s="444"/>
      <c r="V51" s="444"/>
      <c r="W51" s="444"/>
      <c r="X51" s="444"/>
      <c r="Y51" s="444"/>
    </row>
    <row r="52" spans="2:25">
      <c r="B52" s="341" t="s">
        <v>4</v>
      </c>
      <c r="C52" s="449">
        <f>C40</f>
        <v>27563</v>
      </c>
      <c r="D52" s="249">
        <f>C52/$C$59</f>
        <v>0.616911748248618</v>
      </c>
    </row>
    <row r="53" spans="2:25">
      <c r="B53" s="341" t="s">
        <v>5</v>
      </c>
      <c r="C53" s="449">
        <f>C41</f>
        <v>9361</v>
      </c>
      <c r="D53" s="249">
        <f t="shared" ref="D53:D58" si="2">C53/$C$59</f>
        <v>0.209516775218783</v>
      </c>
    </row>
    <row r="54" spans="2:25">
      <c r="B54" s="341" t="s">
        <v>6</v>
      </c>
      <c r="C54" s="449">
        <f>C42</f>
        <v>6141</v>
      </c>
      <c r="D54" s="249">
        <f t="shared" si="2"/>
        <v>0.137447122809374</v>
      </c>
    </row>
    <row r="55" spans="2:25">
      <c r="B55" s="341" t="s">
        <v>7</v>
      </c>
      <c r="C55" s="449">
        <f>+C43</f>
        <v>1557</v>
      </c>
      <c r="D55" s="249">
        <f t="shared" si="2"/>
        <v>0.0348485865843014</v>
      </c>
    </row>
    <row r="56" spans="2:25">
      <c r="B56" s="341" t="s">
        <v>8</v>
      </c>
      <c r="C56" s="449">
        <f>+C44</f>
        <v>57</v>
      </c>
      <c r="D56" s="249">
        <f t="shared" si="2"/>
        <v>0.00127576713892433</v>
      </c>
    </row>
    <row r="57" spans="2:25">
      <c r="B57" s="341" t="s">
        <v>9</v>
      </c>
      <c r="C57" s="449">
        <f>+C45</f>
        <v>0</v>
      </c>
      <c r="D57" s="249">
        <f t="shared" si="2"/>
        <v>0</v>
      </c>
    </row>
    <row r="58" ht="15.75" spans="2:25">
      <c r="B58" s="469" t="s">
        <v>10</v>
      </c>
      <c r="C58" s="449">
        <v>0</v>
      </c>
      <c r="D58" s="249">
        <f t="shared" si="2"/>
        <v>0</v>
      </c>
    </row>
    <row r="59" ht="15.75" spans="2:25">
      <c r="B59" s="470" t="s">
        <v>15</v>
      </c>
      <c r="C59" s="443">
        <f>SUM(C52:C57)</f>
        <v>44679</v>
      </c>
    </row>
    <row r="61" ht="15.75"/>
    <row r="62" ht="24.75" customHeight="1" spans="2:25">
      <c r="B62" s="468" t="s">
        <v>1</v>
      </c>
      <c r="C62" s="471" t="s">
        <v>3</v>
      </c>
    </row>
    <row r="63" spans="2:25">
      <c r="B63" s="341" t="s">
        <v>10</v>
      </c>
      <c r="C63" s="472">
        <f>D46</f>
        <v>4276</v>
      </c>
      <c r="D63" s="249">
        <f>C63/$C$66</f>
        <v>0.833528265107212</v>
      </c>
    </row>
    <row r="64" spans="2:25">
      <c r="B64" s="473" t="s">
        <v>18</v>
      </c>
      <c r="C64" s="472">
        <f>+D44</f>
        <v>9</v>
      </c>
      <c r="D64" s="249">
        <f>C64/$C$66</f>
        <v>0.00175438596491228</v>
      </c>
    </row>
    <row r="65" spans="2:4">
      <c r="B65" s="473" t="s">
        <v>4</v>
      </c>
      <c r="C65" s="472">
        <f>+D40</f>
        <v>845</v>
      </c>
      <c r="D65" s="249"/>
    </row>
    <row r="66" ht="15.75" spans="2:4">
      <c r="B66" s="474" t="s">
        <v>15</v>
      </c>
      <c r="C66" s="475">
        <f>SUM(C63:C65)</f>
        <v>5130</v>
      </c>
    </row>
    <row r="67" spans="2:4">
      <c r="C67" s="233"/>
      <c r="D67" s="233"/>
    </row>
  </sheetData>
  <mergeCells count="4">
    <mergeCell ref="B1:D1"/>
    <mergeCell ref="C13:D13"/>
    <mergeCell ref="B38:D38"/>
    <mergeCell ref="C48:D48"/>
  </mergeCell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76"/>
  <sheetViews>
    <sheetView zoomScale="120" zoomScaleNormal="120" topLeftCell="H138" workbookViewId="0">
      <selection activeCell="H150" sqref="H150"/>
    </sheetView>
  </sheetViews>
  <sheetFormatPr defaultColWidth="11.4285714285714" defaultRowHeight="15" outlineLevelCol="5"/>
  <cols>
    <col min="2" max="2" width="22" customWidth="1"/>
    <col min="3" max="3" width="41.4285714285714" customWidth="1"/>
    <col min="4" max="4" width="26.7142857142857" customWidth="1"/>
    <col min="5" max="5" width="18.1428571428571" customWidth="1"/>
    <col min="6" max="6" width="22.1428571428571" customWidth="1"/>
    <col min="15" max="15" width="24.5714285714286" customWidth="1"/>
    <col min="16" max="16" width="25.2857142857143" customWidth="1"/>
    <col min="17" max="17" width="29.7142857142857" customWidth="1"/>
  </cols>
  <sheetData>
    <row r="1" ht="37.5" customHeight="1" spans="2:6">
      <c r="B1" s="316" t="s">
        <v>19</v>
      </c>
      <c r="C1" s="316"/>
      <c r="D1" s="316"/>
      <c r="E1" s="316"/>
      <c r="F1" s="316"/>
    </row>
    <row r="2" ht="25.5" spans="2:6">
      <c r="B2" s="317" t="s">
        <v>20</v>
      </c>
      <c r="C2" s="317"/>
      <c r="D2" s="318" t="s">
        <v>21</v>
      </c>
      <c r="E2" s="319" t="s">
        <v>2</v>
      </c>
      <c r="F2" s="320" t="s">
        <v>3</v>
      </c>
    </row>
    <row r="3" spans="2:6">
      <c r="B3" s="321" t="s">
        <v>22</v>
      </c>
      <c r="C3" s="321" t="s">
        <v>23</v>
      </c>
      <c r="D3" s="321" t="s">
        <v>24</v>
      </c>
      <c r="E3" s="322"/>
      <c r="F3" s="323">
        <v>4310</v>
      </c>
    </row>
    <row r="4" spans="2:6">
      <c r="B4" s="321" t="s">
        <v>25</v>
      </c>
      <c r="C4" s="321" t="s">
        <v>26</v>
      </c>
      <c r="D4" s="321" t="s">
        <v>24</v>
      </c>
      <c r="E4" s="322"/>
      <c r="F4" s="323"/>
    </row>
    <row r="5" spans="2:6">
      <c r="B5" s="321" t="s">
        <v>27</v>
      </c>
      <c r="C5" s="321" t="s">
        <v>28</v>
      </c>
      <c r="D5" s="321" t="s">
        <v>29</v>
      </c>
      <c r="E5" s="322"/>
      <c r="F5" s="323">
        <v>845</v>
      </c>
    </row>
    <row r="6" spans="2:6">
      <c r="B6" s="321" t="s">
        <v>30</v>
      </c>
      <c r="C6" s="321" t="s">
        <v>31</v>
      </c>
      <c r="D6" s="321" t="s">
        <v>32</v>
      </c>
      <c r="E6" s="322"/>
      <c r="F6" s="323"/>
    </row>
    <row r="7" spans="2:6">
      <c r="B7" s="321" t="s">
        <v>33</v>
      </c>
      <c r="C7" s="321" t="s">
        <v>34</v>
      </c>
      <c r="D7" s="321" t="s">
        <v>35</v>
      </c>
      <c r="E7" s="323">
        <v>34466</v>
      </c>
      <c r="F7" s="323"/>
    </row>
    <row r="8" spans="2:6">
      <c r="B8" s="321" t="s">
        <v>36</v>
      </c>
      <c r="C8" s="321" t="s">
        <v>37</v>
      </c>
      <c r="D8" s="321" t="s">
        <v>38</v>
      </c>
      <c r="E8" s="323">
        <v>2501</v>
      </c>
      <c r="F8" s="323"/>
    </row>
    <row r="9" spans="2:6">
      <c r="B9" s="321" t="s">
        <v>39</v>
      </c>
      <c r="C9" s="321" t="s">
        <v>40</v>
      </c>
      <c r="D9" s="321" t="s">
        <v>41</v>
      </c>
      <c r="E9" s="323">
        <v>3105</v>
      </c>
      <c r="F9" s="323">
        <v>5</v>
      </c>
    </row>
    <row r="10" spans="2:6">
      <c r="B10" s="321" t="s">
        <v>42</v>
      </c>
      <c r="C10" s="321" t="s">
        <v>43</v>
      </c>
      <c r="D10" s="321" t="s">
        <v>44</v>
      </c>
      <c r="E10" s="323">
        <v>2781</v>
      </c>
      <c r="F10" s="322"/>
    </row>
    <row r="11" spans="2:6">
      <c r="B11" s="321" t="s">
        <v>45</v>
      </c>
      <c r="C11" s="321" t="s">
        <v>46</v>
      </c>
      <c r="D11" s="321" t="s">
        <v>47</v>
      </c>
      <c r="E11" s="323"/>
      <c r="F11" s="322"/>
    </row>
    <row r="12" spans="2:6">
      <c r="B12" s="321" t="s">
        <v>48</v>
      </c>
      <c r="C12" s="321" t="s">
        <v>49</v>
      </c>
      <c r="D12" s="321" t="s">
        <v>50</v>
      </c>
      <c r="E12" s="323"/>
      <c r="F12" s="322"/>
    </row>
    <row r="13" spans="2:6">
      <c r="B13" s="321" t="s">
        <v>51</v>
      </c>
      <c r="C13" s="321" t="s">
        <v>52</v>
      </c>
      <c r="D13" s="321" t="s">
        <v>53</v>
      </c>
      <c r="E13" s="323">
        <v>1385</v>
      </c>
      <c r="F13" s="322"/>
    </row>
    <row r="14" spans="2:6">
      <c r="B14" s="321" t="s">
        <v>54</v>
      </c>
      <c r="C14" s="321" t="s">
        <v>55</v>
      </c>
      <c r="D14" s="321" t="s">
        <v>56</v>
      </c>
      <c r="E14" s="323"/>
      <c r="F14" s="322"/>
    </row>
    <row r="15" spans="2:6">
      <c r="B15" s="321" t="s">
        <v>57</v>
      </c>
      <c r="C15" s="321" t="s">
        <v>58</v>
      </c>
      <c r="D15" s="321" t="s">
        <v>59</v>
      </c>
      <c r="E15" s="323"/>
      <c r="F15" s="322"/>
    </row>
    <row r="16" spans="2:6">
      <c r="B16" s="321" t="s">
        <v>60</v>
      </c>
      <c r="C16" s="321" t="s">
        <v>61</v>
      </c>
      <c r="D16" s="321" t="s">
        <v>62</v>
      </c>
      <c r="E16" s="323"/>
      <c r="F16" s="322"/>
    </row>
    <row r="17" spans="2:6">
      <c r="B17" s="321" t="s">
        <v>63</v>
      </c>
      <c r="C17" s="321" t="s">
        <v>64</v>
      </c>
      <c r="D17" s="321" t="s">
        <v>65</v>
      </c>
      <c r="E17" s="323"/>
      <c r="F17" s="322"/>
    </row>
    <row r="18" spans="2:6">
      <c r="B18" s="321" t="s">
        <v>57</v>
      </c>
      <c r="C18" s="321" t="s">
        <v>66</v>
      </c>
      <c r="D18" s="321" t="s">
        <v>67</v>
      </c>
      <c r="E18" s="323">
        <v>23</v>
      </c>
      <c r="F18" s="322"/>
    </row>
    <row r="19" customHeight="1" spans="2:6">
      <c r="B19" s="321" t="s">
        <v>68</v>
      </c>
      <c r="C19" s="321" t="s">
        <v>69</v>
      </c>
      <c r="D19" s="321" t="s">
        <v>70</v>
      </c>
      <c r="E19" s="323"/>
      <c r="F19" s="322"/>
    </row>
    <row r="20" customHeight="1" spans="2:6">
      <c r="B20" s="321" t="s">
        <v>71</v>
      </c>
      <c r="C20" s="321" t="s">
        <v>72</v>
      </c>
      <c r="D20" s="321" t="s">
        <v>73</v>
      </c>
      <c r="E20" s="323"/>
      <c r="F20" s="322"/>
    </row>
    <row r="21" customHeight="1" spans="2:6">
      <c r="B21" s="321" t="s">
        <v>74</v>
      </c>
      <c r="C21" s="321" t="s">
        <v>75</v>
      </c>
      <c r="D21" s="321" t="s">
        <v>76</v>
      </c>
      <c r="E21" s="323"/>
      <c r="F21" s="322"/>
    </row>
    <row r="22" spans="2:6">
      <c r="B22" s="321" t="s">
        <v>77</v>
      </c>
      <c r="C22" s="321" t="s">
        <v>78</v>
      </c>
      <c r="D22" s="321" t="s">
        <v>79</v>
      </c>
      <c r="E22" s="323"/>
      <c r="F22" s="322"/>
    </row>
    <row r="23" spans="2:6">
      <c r="B23" s="321" t="s">
        <v>80</v>
      </c>
      <c r="C23" s="321" t="s">
        <v>81</v>
      </c>
      <c r="D23" s="321" t="s">
        <v>82</v>
      </c>
      <c r="E23" s="323"/>
      <c r="F23" s="322"/>
    </row>
    <row r="24" spans="2:6">
      <c r="B24" s="321" t="s">
        <v>83</v>
      </c>
      <c r="C24" s="321" t="s">
        <v>84</v>
      </c>
      <c r="D24" s="321" t="s">
        <v>85</v>
      </c>
      <c r="E24" s="323"/>
      <c r="F24" s="322"/>
    </row>
    <row r="25" spans="2:6">
      <c r="B25" s="321" t="s">
        <v>86</v>
      </c>
      <c r="C25" s="321" t="s">
        <v>87</v>
      </c>
      <c r="D25" s="321" t="s">
        <v>88</v>
      </c>
      <c r="E25" s="323"/>
      <c r="F25" s="322"/>
    </row>
    <row r="26" spans="2:6">
      <c r="B26" s="321" t="s">
        <v>89</v>
      </c>
      <c r="C26" s="321" t="s">
        <v>90</v>
      </c>
      <c r="D26" s="321" t="s">
        <v>91</v>
      </c>
      <c r="E26" s="323"/>
      <c r="F26" s="322"/>
    </row>
    <row r="27" spans="2:6">
      <c r="B27" s="321" t="s">
        <v>92</v>
      </c>
      <c r="C27" s="321" t="s">
        <v>93</v>
      </c>
      <c r="D27" s="321" t="s">
        <v>94</v>
      </c>
      <c r="E27" s="323">
        <f>373+5</f>
        <v>378</v>
      </c>
      <c r="F27" s="323"/>
    </row>
    <row r="28" spans="2:6">
      <c r="B28" s="321" t="s">
        <v>95</v>
      </c>
      <c r="C28" s="321" t="s">
        <v>96</v>
      </c>
      <c r="D28" s="321" t="s">
        <v>97</v>
      </c>
      <c r="E28" s="323">
        <v>1</v>
      </c>
      <c r="F28" s="322"/>
    </row>
    <row r="29" spans="2:6">
      <c r="B29" s="321" t="s">
        <v>98</v>
      </c>
      <c r="C29" s="321" t="s">
        <v>99</v>
      </c>
      <c r="D29" s="321" t="s">
        <v>100</v>
      </c>
      <c r="E29" s="323"/>
      <c r="F29" s="322"/>
    </row>
    <row r="30" spans="2:6">
      <c r="B30" s="321" t="s">
        <v>101</v>
      </c>
      <c r="C30" s="321" t="s">
        <v>102</v>
      </c>
      <c r="D30" s="321" t="s">
        <v>103</v>
      </c>
      <c r="E30" s="323"/>
      <c r="F30" s="322"/>
    </row>
    <row r="31" spans="2:6">
      <c r="B31" s="321" t="s">
        <v>104</v>
      </c>
      <c r="C31" s="321" t="s">
        <v>105</v>
      </c>
      <c r="D31" s="321" t="s">
        <v>106</v>
      </c>
      <c r="E31" s="323">
        <v>9</v>
      </c>
      <c r="F31" s="322"/>
    </row>
    <row r="32" spans="2:6">
      <c r="B32" s="321" t="s">
        <v>107</v>
      </c>
      <c r="C32" s="321" t="s">
        <v>108</v>
      </c>
      <c r="D32" s="321" t="s">
        <v>109</v>
      </c>
      <c r="E32" s="323"/>
      <c r="F32" s="322"/>
    </row>
    <row r="33" spans="2:6">
      <c r="B33" s="321" t="s">
        <v>110</v>
      </c>
      <c r="C33" s="321" t="s">
        <v>111</v>
      </c>
      <c r="D33" s="321" t="s">
        <v>112</v>
      </c>
      <c r="E33" s="323"/>
      <c r="F33" s="322"/>
    </row>
    <row r="34" spans="2:6">
      <c r="B34" s="321" t="s">
        <v>113</v>
      </c>
      <c r="C34" s="321" t="s">
        <v>114</v>
      </c>
      <c r="D34" s="321" t="s">
        <v>115</v>
      </c>
      <c r="E34" s="323"/>
      <c r="F34" s="322"/>
    </row>
    <row r="35" spans="2:6">
      <c r="B35" s="324" t="s">
        <v>15</v>
      </c>
      <c r="C35" s="324"/>
      <c r="D35" s="324"/>
      <c r="E35" s="325">
        <f>SUM(E3:E34)</f>
        <v>44649</v>
      </c>
      <c r="F35" s="325">
        <f>SUM(F3:F33)</f>
        <v>5160</v>
      </c>
    </row>
    <row r="36" spans="2:6">
      <c r="B36" s="324"/>
      <c r="C36" s="324"/>
      <c r="D36" s="324"/>
      <c r="E36" s="326">
        <f>SUM(E35:F35)</f>
        <v>49809</v>
      </c>
      <c r="F36" s="327"/>
    </row>
    <row r="38" spans="2:6">
      <c r="B38" s="328" t="s">
        <v>21</v>
      </c>
      <c r="C38" s="329" t="s">
        <v>2</v>
      </c>
      <c r="D38" s="330" t="s">
        <v>116</v>
      </c>
      <c r="E38" s="331"/>
      <c r="F38" s="331"/>
    </row>
    <row r="39" spans="2:6">
      <c r="B39" s="332" t="s">
        <v>35</v>
      </c>
      <c r="C39" s="333">
        <f>+E7+E15</f>
        <v>34466</v>
      </c>
      <c r="D39" s="334">
        <f>(C39/$C$45)*100%</f>
        <v>0.771932182131739</v>
      </c>
      <c r="E39" s="335"/>
      <c r="F39" s="331"/>
    </row>
    <row r="40" spans="2:6">
      <c r="B40" s="332" t="s">
        <v>117</v>
      </c>
      <c r="C40" s="333">
        <f>+E8</f>
        <v>2501</v>
      </c>
      <c r="D40" s="334">
        <f t="shared" ref="D40:D44" si="0">(C40/$C$45)*100%</f>
        <v>0.0560146923783287</v>
      </c>
      <c r="E40" s="335"/>
      <c r="F40" s="335"/>
    </row>
    <row r="41" spans="2:6">
      <c r="B41" s="332" t="s">
        <v>41</v>
      </c>
      <c r="C41" s="333">
        <f>+E9</f>
        <v>3105</v>
      </c>
      <c r="D41" s="334">
        <f t="shared" si="0"/>
        <v>0.0695424309614997</v>
      </c>
      <c r="E41" s="331"/>
      <c r="F41" s="335"/>
    </row>
    <row r="42" spans="2:6">
      <c r="B42" s="332" t="s">
        <v>44</v>
      </c>
      <c r="C42" s="333">
        <f>+E10</f>
        <v>2781</v>
      </c>
      <c r="D42" s="334">
        <f t="shared" si="0"/>
        <v>0.0622858294698649</v>
      </c>
      <c r="E42" s="331"/>
      <c r="F42" s="335"/>
    </row>
    <row r="43" spans="2:6">
      <c r="B43" s="332" t="s">
        <v>53</v>
      </c>
      <c r="C43" s="333">
        <f>+E13</f>
        <v>1385</v>
      </c>
      <c r="D43" s="334">
        <f t="shared" si="0"/>
        <v>0.0310197316849202</v>
      </c>
      <c r="E43" s="331"/>
      <c r="F43" s="331"/>
    </row>
    <row r="44" spans="2:6">
      <c r="B44" s="332" t="s">
        <v>118</v>
      </c>
      <c r="C44" s="333">
        <f>+E14+E16+E19+E28+E29+E31+E11+E24+E18+E25+E21+E20+E17+E32+E33+E23+E27+E34</f>
        <v>411</v>
      </c>
      <c r="D44" s="334">
        <f t="shared" si="0"/>
        <v>0.00920513337364779</v>
      </c>
      <c r="E44" s="331"/>
      <c r="F44" s="331"/>
    </row>
    <row r="45" spans="2:6">
      <c r="B45" s="336"/>
      <c r="C45" s="124">
        <f>SUM(C39:C44)</f>
        <v>44649</v>
      </c>
      <c r="D45" s="337">
        <f>SUM(D39:D44)</f>
        <v>1</v>
      </c>
      <c r="E45" s="331"/>
      <c r="F45" s="335"/>
    </row>
    <row r="46" ht="15.75" spans="2:6">
      <c r="E46" s="331"/>
      <c r="F46" s="335"/>
    </row>
    <row r="47" spans="2:6">
      <c r="B47" s="338" t="s">
        <v>21</v>
      </c>
      <c r="C47" s="339" t="s">
        <v>3</v>
      </c>
      <c r="D47" s="340" t="s">
        <v>116</v>
      </c>
      <c r="E47" s="331"/>
      <c r="F47" s="335"/>
    </row>
    <row r="48" spans="2:6">
      <c r="B48" s="341" t="s">
        <v>24</v>
      </c>
      <c r="C48" s="333">
        <f>+F3</f>
        <v>4310</v>
      </c>
      <c r="D48" s="342">
        <f>(C48/C51)*100%</f>
        <v>0.835271317829457</v>
      </c>
      <c r="E48" s="331"/>
      <c r="F48" s="335"/>
    </row>
    <row r="49" spans="2:6">
      <c r="B49" s="332" t="s">
        <v>29</v>
      </c>
      <c r="C49" s="333">
        <f>+F5</f>
        <v>845</v>
      </c>
      <c r="D49" s="342">
        <f>(C49/C51)*100%</f>
        <v>0.163759689922481</v>
      </c>
      <c r="E49" s="331"/>
      <c r="F49" s="335"/>
    </row>
    <row r="50" ht="15.75" spans="2:6">
      <c r="B50" s="343" t="s">
        <v>118</v>
      </c>
      <c r="C50" s="333">
        <f>+F27+F4+F9</f>
        <v>5</v>
      </c>
      <c r="D50" s="342">
        <f>(C50/C51)*100%</f>
        <v>0.000968992248062015</v>
      </c>
    </row>
    <row r="51" spans="2:6">
      <c r="C51" s="344">
        <f>SUM(C48:C50)</f>
        <v>5160</v>
      </c>
      <c r="D51" s="345">
        <f>SUM(D48:D50)</f>
        <v>1</v>
      </c>
    </row>
    <row r="52" ht="15.75"/>
    <row r="53" ht="37.5" customHeight="1" spans="2:6">
      <c r="B53" s="346" t="s">
        <v>119</v>
      </c>
      <c r="C53" s="347"/>
      <c r="D53" s="347"/>
      <c r="E53" s="347"/>
      <c r="F53" s="348"/>
    </row>
    <row r="54" ht="35.25" customHeight="1" spans="2:6">
      <c r="B54" s="349" t="s">
        <v>20</v>
      </c>
      <c r="C54" s="317"/>
      <c r="D54" s="318" t="s">
        <v>120</v>
      </c>
      <c r="E54" s="319" t="s">
        <v>2</v>
      </c>
      <c r="F54" s="350" t="s">
        <v>3</v>
      </c>
    </row>
    <row r="55" spans="2:6">
      <c r="B55" s="351" t="s">
        <v>22</v>
      </c>
      <c r="C55" s="321" t="s">
        <v>23</v>
      </c>
      <c r="D55" s="321" t="s">
        <v>24</v>
      </c>
      <c r="E55" s="323"/>
      <c r="F55" s="352">
        <v>4858</v>
      </c>
    </row>
    <row r="56" spans="2:6">
      <c r="B56" s="351" t="s">
        <v>121</v>
      </c>
      <c r="C56" s="321" t="s">
        <v>122</v>
      </c>
      <c r="D56" s="321" t="s">
        <v>123</v>
      </c>
      <c r="E56" s="322"/>
      <c r="F56" s="352">
        <v>3</v>
      </c>
    </row>
    <row r="57" spans="2:6">
      <c r="B57" s="351" t="s">
        <v>27</v>
      </c>
      <c r="C57" s="321" t="s">
        <v>28</v>
      </c>
      <c r="D57" s="321" t="s">
        <v>29</v>
      </c>
      <c r="E57" s="322"/>
      <c r="F57" s="352">
        <v>832</v>
      </c>
    </row>
    <row r="58" spans="2:6">
      <c r="B58" s="351" t="s">
        <v>30</v>
      </c>
      <c r="C58" s="321" t="s">
        <v>31</v>
      </c>
      <c r="D58" s="321" t="s">
        <v>32</v>
      </c>
      <c r="E58" s="322"/>
      <c r="F58" s="352"/>
    </row>
    <row r="59" spans="2:6">
      <c r="B59" s="351" t="s">
        <v>33</v>
      </c>
      <c r="C59" s="321" t="s">
        <v>34</v>
      </c>
      <c r="D59" s="321" t="s">
        <v>35</v>
      </c>
      <c r="E59" s="323">
        <v>27789</v>
      </c>
      <c r="F59" s="352">
        <v>6468</v>
      </c>
    </row>
    <row r="60" spans="2:6">
      <c r="B60" s="351" t="s">
        <v>36</v>
      </c>
      <c r="C60" s="321" t="s">
        <v>37</v>
      </c>
      <c r="D60" s="321" t="s">
        <v>38</v>
      </c>
      <c r="E60" s="323">
        <v>2113</v>
      </c>
      <c r="F60" s="352">
        <v>313</v>
      </c>
    </row>
    <row r="61" spans="2:6">
      <c r="B61" s="351" t="s">
        <v>39</v>
      </c>
      <c r="C61" s="321" t="s">
        <v>40</v>
      </c>
      <c r="D61" s="321" t="s">
        <v>41</v>
      </c>
      <c r="E61" s="323">
        <v>3082</v>
      </c>
      <c r="F61" s="352"/>
    </row>
    <row r="62" spans="2:6">
      <c r="B62" s="351" t="s">
        <v>42</v>
      </c>
      <c r="C62" s="321" t="s">
        <v>43</v>
      </c>
      <c r="D62" s="321" t="s">
        <v>44</v>
      </c>
      <c r="E62" s="323">
        <v>2982</v>
      </c>
      <c r="F62" s="352">
        <v>47</v>
      </c>
    </row>
    <row r="63" spans="2:6">
      <c r="B63" s="351" t="s">
        <v>51</v>
      </c>
      <c r="C63" s="321" t="s">
        <v>52</v>
      </c>
      <c r="D63" s="321" t="s">
        <v>53</v>
      </c>
      <c r="E63" s="323">
        <v>1389</v>
      </c>
      <c r="F63" s="352"/>
    </row>
    <row r="64" spans="2:6">
      <c r="B64" s="351" t="s">
        <v>57</v>
      </c>
      <c r="C64" s="321" t="s">
        <v>58</v>
      </c>
      <c r="D64" s="321" t="s">
        <v>59</v>
      </c>
      <c r="E64" s="323">
        <v>3</v>
      </c>
      <c r="F64" s="352"/>
    </row>
    <row r="65" spans="2:6">
      <c r="B65" s="351" t="s">
        <v>60</v>
      </c>
      <c r="C65" s="321" t="s">
        <v>61</v>
      </c>
      <c r="D65" s="321" t="s">
        <v>62</v>
      </c>
      <c r="E65" s="323"/>
      <c r="F65" s="353"/>
    </row>
    <row r="66" spans="2:6">
      <c r="B66" s="351" t="s">
        <v>63</v>
      </c>
      <c r="C66" s="321" t="s">
        <v>64</v>
      </c>
      <c r="D66" s="321" t="s">
        <v>65</v>
      </c>
      <c r="E66" s="323">
        <v>5</v>
      </c>
      <c r="F66" s="353"/>
    </row>
    <row r="67" spans="2:6">
      <c r="B67" s="351" t="s">
        <v>71</v>
      </c>
      <c r="C67" s="321" t="s">
        <v>72</v>
      </c>
      <c r="D67" s="321" t="s">
        <v>73</v>
      </c>
      <c r="E67" s="323"/>
      <c r="F67" s="353"/>
    </row>
    <row r="68" spans="2:6">
      <c r="B68" s="351" t="s">
        <v>124</v>
      </c>
      <c r="C68" s="321" t="s">
        <v>125</v>
      </c>
      <c r="D68" s="321" t="s">
        <v>126</v>
      </c>
      <c r="E68" s="323"/>
      <c r="F68" s="352"/>
    </row>
    <row r="69" ht="14.25" customHeight="1" spans="2:6">
      <c r="B69" s="351" t="s">
        <v>77</v>
      </c>
      <c r="C69" s="321" t="s">
        <v>78</v>
      </c>
      <c r="D69" s="321" t="s">
        <v>79</v>
      </c>
      <c r="E69" s="323"/>
      <c r="F69" s="353"/>
    </row>
    <row r="70" ht="14.25" customHeight="1" spans="2:6">
      <c r="B70" s="351" t="s">
        <v>80</v>
      </c>
      <c r="C70" s="321" t="s">
        <v>81</v>
      </c>
      <c r="D70" s="321" t="s">
        <v>82</v>
      </c>
      <c r="E70" s="323"/>
      <c r="F70" s="353"/>
    </row>
    <row r="71" ht="14.25" customHeight="1" spans="2:6">
      <c r="B71" s="351" t="s">
        <v>74</v>
      </c>
      <c r="C71" s="321" t="s">
        <v>75</v>
      </c>
      <c r="D71" s="321" t="s">
        <v>76</v>
      </c>
      <c r="E71" s="323"/>
      <c r="F71" s="353"/>
    </row>
    <row r="72" ht="14.25" customHeight="1" spans="2:6">
      <c r="B72" s="351" t="s">
        <v>92</v>
      </c>
      <c r="C72" s="321" t="s">
        <v>93</v>
      </c>
      <c r="D72" s="321" t="s">
        <v>94</v>
      </c>
      <c r="E72" s="323">
        <v>6</v>
      </c>
      <c r="F72" s="352"/>
    </row>
    <row r="73" ht="14.25" customHeight="1" spans="2:6">
      <c r="B73" s="354" t="s">
        <v>95</v>
      </c>
      <c r="C73" s="355" t="s">
        <v>96</v>
      </c>
      <c r="D73" s="355" t="s">
        <v>97</v>
      </c>
      <c r="E73" s="323">
        <v>1</v>
      </c>
      <c r="F73" s="353"/>
    </row>
    <row r="74" ht="14.25" customHeight="1" spans="2:6">
      <c r="B74" s="354" t="s">
        <v>80</v>
      </c>
      <c r="C74" s="355" t="s">
        <v>127</v>
      </c>
      <c r="D74" s="355" t="s">
        <v>50</v>
      </c>
      <c r="E74" s="323"/>
      <c r="F74" s="353"/>
    </row>
    <row r="75" ht="14.25" customHeight="1" spans="2:6">
      <c r="B75" s="354" t="s">
        <v>128</v>
      </c>
      <c r="C75" s="355" t="s">
        <v>129</v>
      </c>
      <c r="D75" s="355" t="s">
        <v>130</v>
      </c>
      <c r="E75" s="323"/>
      <c r="F75" s="353"/>
    </row>
    <row r="76" ht="14.25" customHeight="1" spans="2:6">
      <c r="B76" s="354" t="s">
        <v>98</v>
      </c>
      <c r="C76" s="355" t="s">
        <v>99</v>
      </c>
      <c r="D76" s="355" t="s">
        <v>100</v>
      </c>
      <c r="E76" s="323"/>
      <c r="F76" s="353"/>
    </row>
    <row r="77" ht="14.25" customHeight="1" spans="2:6">
      <c r="B77" s="351" t="s">
        <v>45</v>
      </c>
      <c r="C77" s="321" t="s">
        <v>46</v>
      </c>
      <c r="D77" s="321" t="s">
        <v>47</v>
      </c>
      <c r="E77" s="323"/>
      <c r="F77" s="353"/>
    </row>
    <row r="78" ht="14.25" customHeight="1" spans="2:6">
      <c r="B78" s="321" t="s">
        <v>101</v>
      </c>
      <c r="C78" s="321" t="s">
        <v>102</v>
      </c>
      <c r="D78" s="321" t="s">
        <v>103</v>
      </c>
      <c r="E78" s="323"/>
      <c r="F78" s="322"/>
    </row>
    <row r="79" ht="14.25" customHeight="1" spans="2:6">
      <c r="B79" s="321" t="s">
        <v>104</v>
      </c>
      <c r="C79" s="321" t="s">
        <v>105</v>
      </c>
      <c r="D79" s="321" t="s">
        <v>106</v>
      </c>
      <c r="E79" s="323"/>
      <c r="F79" s="322"/>
    </row>
    <row r="80" ht="14.25" customHeight="1" spans="2:6">
      <c r="B80" s="356" t="s">
        <v>107</v>
      </c>
      <c r="C80" s="357" t="s">
        <v>108</v>
      </c>
      <c r="D80" s="356" t="s">
        <v>109</v>
      </c>
      <c r="E80" s="323"/>
      <c r="F80" s="322"/>
    </row>
    <row r="81" ht="14.25" customHeight="1" spans="2:6">
      <c r="B81" s="356" t="s">
        <v>131</v>
      </c>
      <c r="C81" s="357" t="s">
        <v>132</v>
      </c>
      <c r="D81" s="356" t="s">
        <v>133</v>
      </c>
      <c r="E81" s="323">
        <v>1</v>
      </c>
      <c r="F81" s="322"/>
    </row>
    <row r="82" ht="14.25" customHeight="1" spans="2:6">
      <c r="B82" s="321" t="s">
        <v>110</v>
      </c>
      <c r="C82" s="321" t="s">
        <v>111</v>
      </c>
      <c r="D82" s="321" t="s">
        <v>112</v>
      </c>
      <c r="E82" s="323"/>
      <c r="F82" s="322"/>
    </row>
    <row r="83" spans="2:6">
      <c r="B83" s="358" t="s">
        <v>15</v>
      </c>
      <c r="C83" s="359"/>
      <c r="D83" s="360"/>
      <c r="E83" s="361">
        <f>SUM(E55:E82)</f>
        <v>37371</v>
      </c>
      <c r="F83" s="361">
        <f>SUM(F55:F79)</f>
        <v>12521</v>
      </c>
    </row>
    <row r="84" spans="2:6">
      <c r="B84" s="362"/>
      <c r="C84" s="363"/>
      <c r="D84" s="364"/>
      <c r="E84" s="365">
        <f>SUM(E83:F83)</f>
        <v>49892</v>
      </c>
      <c r="F84" s="366"/>
    </row>
    <row r="86" spans="2:6">
      <c r="B86" s="328" t="s">
        <v>21</v>
      </c>
      <c r="C86" s="329" t="s">
        <v>2</v>
      </c>
      <c r="D86" s="340" t="s">
        <v>116</v>
      </c>
      <c r="E86" s="367"/>
      <c r="F86" s="335"/>
    </row>
    <row r="87" ht="15.75" customHeight="1" spans="2:6">
      <c r="B87" s="332" t="s">
        <v>35</v>
      </c>
      <c r="C87" s="333">
        <f>+E59+E64</f>
        <v>27792</v>
      </c>
      <c r="D87" s="334">
        <f>(C87/C93)*100%</f>
        <v>0.743678253190977</v>
      </c>
      <c r="E87" s="367"/>
      <c r="F87" s="367"/>
    </row>
    <row r="88" ht="15.75" customHeight="1" spans="2:6">
      <c r="B88" s="332" t="s">
        <v>117</v>
      </c>
      <c r="C88" s="333">
        <f>+E60</f>
        <v>2113</v>
      </c>
      <c r="D88" s="334">
        <f>(C88/C93)*100%</f>
        <v>0.056541168285569</v>
      </c>
      <c r="E88" s="367"/>
      <c r="F88" s="367"/>
    </row>
    <row r="89" ht="15.75" customHeight="1" spans="2:6">
      <c r="B89" s="332" t="s">
        <v>41</v>
      </c>
      <c r="C89" s="333">
        <f>+E61</f>
        <v>3082</v>
      </c>
      <c r="D89" s="334">
        <f>(C89/C93)*100%</f>
        <v>0.082470364721308</v>
      </c>
      <c r="E89" s="367"/>
      <c r="F89" s="367"/>
    </row>
    <row r="90" ht="15.75" customHeight="1" spans="2:6">
      <c r="B90" s="332" t="s">
        <v>44</v>
      </c>
      <c r="C90" s="333">
        <f>+E62</f>
        <v>2982</v>
      </c>
      <c r="D90" s="334">
        <f>(C90/C93)*100%</f>
        <v>0.079794493056113</v>
      </c>
      <c r="E90" s="367"/>
      <c r="F90" s="367"/>
    </row>
    <row r="91" ht="15.75" customHeight="1" spans="2:6">
      <c r="B91" s="332" t="s">
        <v>53</v>
      </c>
      <c r="C91" s="333">
        <f>+E63</f>
        <v>1389</v>
      </c>
      <c r="D91" s="334">
        <f>(C91/C93)*100%</f>
        <v>0.0371678574295577</v>
      </c>
      <c r="E91" s="367"/>
      <c r="F91" s="367"/>
    </row>
    <row r="92" ht="15.75" customHeight="1" spans="2:6">
      <c r="B92" s="332" t="s">
        <v>118</v>
      </c>
      <c r="C92" s="333">
        <f>+E65+E74+E76+E75+E82+E77+E72+E73+E66+E67+E70+E79+E80+E81+E55</f>
        <v>13</v>
      </c>
      <c r="D92" s="334">
        <f>(C92/C93)*100%</f>
        <v>0.000347863316475342</v>
      </c>
      <c r="E92" s="368"/>
      <c r="F92" s="368"/>
    </row>
    <row r="93" spans="2:6">
      <c r="C93" s="344">
        <f>SUM(C87:C92)</f>
        <v>37371</v>
      </c>
      <c r="D93" s="337">
        <f>SUM(D87:D92)</f>
        <v>1</v>
      </c>
      <c r="E93" s="368"/>
      <c r="F93" s="368"/>
    </row>
    <row r="94" ht="15.75" spans="2:6">
      <c r="E94" s="368"/>
      <c r="F94" s="368"/>
    </row>
    <row r="95" spans="2:6">
      <c r="B95" s="338" t="s">
        <v>21</v>
      </c>
      <c r="C95" s="339" t="s">
        <v>3</v>
      </c>
      <c r="D95" s="340" t="s">
        <v>116</v>
      </c>
      <c r="E95" s="369"/>
      <c r="F95" s="369"/>
    </row>
    <row r="96" spans="2:6">
      <c r="B96" s="341" t="s">
        <v>24</v>
      </c>
      <c r="C96" s="333">
        <f>+F55</f>
        <v>4858</v>
      </c>
      <c r="D96" s="342">
        <f>(C96/C100)*100%</f>
        <v>0.387988179857839</v>
      </c>
      <c r="E96" s="369"/>
      <c r="F96" s="369"/>
    </row>
    <row r="97" spans="2:6">
      <c r="B97" s="332" t="s">
        <v>29</v>
      </c>
      <c r="C97" s="333">
        <f>+F57</f>
        <v>832</v>
      </c>
      <c r="D97" s="342">
        <f>(C97/C100)*100%</f>
        <v>0.0664483667438703</v>
      </c>
      <c r="E97" s="369"/>
      <c r="F97" s="369"/>
    </row>
    <row r="98" spans="2:6">
      <c r="B98" s="370" t="s">
        <v>59</v>
      </c>
      <c r="C98" s="333">
        <f>F59</f>
        <v>6468</v>
      </c>
      <c r="D98" s="342">
        <f>(C98/C100)*100%</f>
        <v>0.516572158773261</v>
      </c>
      <c r="E98" s="369"/>
      <c r="F98" s="369"/>
    </row>
    <row r="99" ht="15.75" spans="2:6">
      <c r="B99" s="343" t="s">
        <v>118</v>
      </c>
      <c r="C99" s="333">
        <f>+F60+F61+F68+F64+F56+F62+F63+F72</f>
        <v>363</v>
      </c>
      <c r="D99" s="342">
        <f>(C99/C100)*100%</f>
        <v>0.0289912946250299</v>
      </c>
      <c r="E99" s="371"/>
      <c r="F99" s="371"/>
    </row>
    <row r="100" spans="2:6">
      <c r="C100" s="344">
        <f>SUM(C96:C99)</f>
        <v>12521</v>
      </c>
      <c r="D100" s="345">
        <f>SUM(D96:D99)</f>
        <v>1</v>
      </c>
      <c r="E100" s="371"/>
      <c r="F100" s="371"/>
    </row>
    <row r="101" ht="15.75" spans="2:6">
      <c r="E101" s="371"/>
      <c r="F101" s="371"/>
    </row>
    <row r="102" ht="26.25" customHeight="1" spans="2:6">
      <c r="B102" s="372" t="s">
        <v>134</v>
      </c>
      <c r="C102" s="373"/>
      <c r="D102" s="373"/>
      <c r="E102" s="374"/>
    </row>
    <row r="103" ht="30.75" spans="2:6">
      <c r="B103" s="375" t="s">
        <v>135</v>
      </c>
      <c r="C103" s="376" t="s">
        <v>1</v>
      </c>
      <c r="D103" s="377" t="s">
        <v>21</v>
      </c>
      <c r="E103" s="378" t="s">
        <v>120</v>
      </c>
    </row>
    <row r="104" spans="2:6">
      <c r="B104" s="379" t="s">
        <v>136</v>
      </c>
      <c r="C104" s="380" t="s">
        <v>5</v>
      </c>
      <c r="D104" s="381">
        <v>67</v>
      </c>
      <c r="E104" s="382">
        <v>67</v>
      </c>
      <c r="F104" s="383"/>
    </row>
    <row r="105" spans="2:6">
      <c r="B105" s="341" t="s">
        <v>137</v>
      </c>
      <c r="C105" s="332" t="s">
        <v>4</v>
      </c>
      <c r="D105" s="333">
        <v>156</v>
      </c>
      <c r="E105" s="384">
        <v>157</v>
      </c>
      <c r="F105" s="383"/>
    </row>
    <row r="106" spans="2:6">
      <c r="B106" s="341" t="s">
        <v>10</v>
      </c>
      <c r="C106" s="332" t="s">
        <v>10</v>
      </c>
      <c r="D106" s="333">
        <v>32</v>
      </c>
      <c r="E106" s="384">
        <v>32</v>
      </c>
      <c r="F106" s="383"/>
    </row>
    <row r="107" spans="2:6">
      <c r="B107" s="341" t="s">
        <v>7</v>
      </c>
      <c r="C107" s="332" t="s">
        <v>7</v>
      </c>
      <c r="D107" s="333">
        <v>83</v>
      </c>
      <c r="E107" s="384">
        <v>83</v>
      </c>
      <c r="F107" s="383"/>
    </row>
    <row r="108" ht="15.75" spans="2:6">
      <c r="B108" s="343" t="s">
        <v>138</v>
      </c>
      <c r="C108" s="385" t="s">
        <v>6</v>
      </c>
      <c r="D108" s="386">
        <v>36</v>
      </c>
      <c r="E108" s="387">
        <v>36</v>
      </c>
      <c r="F108" s="383"/>
    </row>
    <row r="109" ht="15.75" spans="2:6">
      <c r="B109" s="388" t="s">
        <v>139</v>
      </c>
      <c r="C109" s="389"/>
      <c r="D109" s="390">
        <f>SUM(D104:D108)</f>
        <v>374</v>
      </c>
      <c r="E109" s="391">
        <f>SUM(E104:E108)</f>
        <v>375</v>
      </c>
      <c r="F109" s="383"/>
    </row>
    <row r="110" ht="15.75" spans="2:6">
      <c r="B110" s="392"/>
      <c r="C110" s="393"/>
      <c r="D110" s="394">
        <f>+D109+E109</f>
        <v>749</v>
      </c>
      <c r="E110" s="395"/>
      <c r="F110" s="383"/>
    </row>
    <row r="111" spans="2:6">
      <c r="B111" s="396" t="s">
        <v>8</v>
      </c>
      <c r="C111" s="397" t="s">
        <v>18</v>
      </c>
      <c r="D111" s="398">
        <v>191</v>
      </c>
      <c r="E111" s="399">
        <v>194</v>
      </c>
      <c r="F111" s="383"/>
    </row>
    <row r="112" ht="15.75" spans="2:6">
      <c r="B112" s="400" t="s">
        <v>140</v>
      </c>
      <c r="C112" s="401" t="s">
        <v>141</v>
      </c>
      <c r="D112" s="402">
        <v>93</v>
      </c>
      <c r="E112" s="403">
        <v>93</v>
      </c>
      <c r="F112" s="383"/>
    </row>
    <row r="113" ht="15.75" spans="2:6">
      <c r="B113" s="388" t="s">
        <v>142</v>
      </c>
      <c r="C113" s="389"/>
      <c r="D113" s="390">
        <f>SUM(D111:D112)</f>
        <v>284</v>
      </c>
      <c r="E113" s="391">
        <f>SUM(E111:E112)</f>
        <v>287</v>
      </c>
      <c r="F113" s="383"/>
    </row>
    <row r="114" ht="20.25" customHeight="1" spans="2:6">
      <c r="B114" s="392"/>
      <c r="C114" s="393"/>
      <c r="D114" s="394">
        <f>+D113+E113</f>
        <v>571</v>
      </c>
      <c r="E114" s="395"/>
    </row>
    <row r="115" ht="27.75" customHeight="1" spans="2:6">
      <c r="B115" s="404" t="s">
        <v>143</v>
      </c>
      <c r="C115" s="405"/>
      <c r="D115" s="406">
        <f>(D110+D114)</f>
        <v>1320</v>
      </c>
      <c r="E115" s="405"/>
    </row>
    <row r="116" ht="15.75" spans="2:6">
      <c r="D116" s="233"/>
    </row>
    <row r="117" spans="2:6">
      <c r="B117" s="407" t="s">
        <v>1</v>
      </c>
      <c r="C117" s="408" t="s">
        <v>21</v>
      </c>
    </row>
    <row r="118" spans="2:6">
      <c r="B118" s="332" t="s">
        <v>4</v>
      </c>
      <c r="C118" s="409">
        <f>+D105</f>
        <v>156</v>
      </c>
      <c r="D118" s="410"/>
      <c r="E118" s="411"/>
    </row>
    <row r="119" spans="2:6">
      <c r="B119" s="332" t="s">
        <v>18</v>
      </c>
      <c r="C119" s="409">
        <f>+D111</f>
        <v>191</v>
      </c>
      <c r="D119" s="410"/>
      <c r="E119" s="411"/>
    </row>
    <row r="120" spans="2:6">
      <c r="B120" s="332" t="s">
        <v>5</v>
      </c>
      <c r="C120" s="409">
        <f>+D104</f>
        <v>67</v>
      </c>
      <c r="D120" s="410"/>
      <c r="E120" s="411"/>
    </row>
    <row r="121" spans="2:6">
      <c r="B121" s="332" t="s">
        <v>7</v>
      </c>
      <c r="C121" s="409">
        <f>+D107</f>
        <v>83</v>
      </c>
      <c r="D121" s="410"/>
      <c r="E121" s="411"/>
    </row>
    <row r="122" spans="2:6">
      <c r="B122" s="332" t="s">
        <v>6</v>
      </c>
      <c r="C122" s="409">
        <f>+D108</f>
        <v>36</v>
      </c>
      <c r="D122" s="410"/>
      <c r="E122" s="411"/>
    </row>
    <row r="123" spans="2:6">
      <c r="B123" s="332" t="s">
        <v>10</v>
      </c>
      <c r="C123" s="409">
        <f>+D106</f>
        <v>32</v>
      </c>
      <c r="D123" s="410"/>
      <c r="E123" s="411"/>
    </row>
    <row r="124" spans="2:6">
      <c r="B124" s="332" t="s">
        <v>141</v>
      </c>
      <c r="C124" s="409">
        <f>+D112</f>
        <v>93</v>
      </c>
      <c r="D124" s="410"/>
      <c r="E124" s="411"/>
    </row>
    <row r="125" spans="2:6">
      <c r="B125" s="412"/>
      <c r="C125" s="413">
        <f>SUM(C118:C124)</f>
        <v>658</v>
      </c>
      <c r="D125" s="410"/>
      <c r="E125" s="411"/>
    </row>
    <row r="127" spans="2:6">
      <c r="B127" s="414" t="s">
        <v>1</v>
      </c>
      <c r="C127" s="415" t="s">
        <v>120</v>
      </c>
    </row>
    <row r="128" spans="2:6">
      <c r="B128" s="332" t="s">
        <v>4</v>
      </c>
      <c r="C128" s="409">
        <f>+E105</f>
        <v>157</v>
      </c>
    </row>
    <row r="129" spans="2:4">
      <c r="B129" s="332" t="s">
        <v>18</v>
      </c>
      <c r="C129" s="409">
        <f>+E111</f>
        <v>194</v>
      </c>
    </row>
    <row r="130" spans="2:4">
      <c r="B130" s="332" t="s">
        <v>5</v>
      </c>
      <c r="C130" s="409">
        <f>+E104</f>
        <v>67</v>
      </c>
    </row>
    <row r="131" spans="2:4">
      <c r="B131" s="332" t="s">
        <v>7</v>
      </c>
      <c r="C131" s="409">
        <f>+E107</f>
        <v>83</v>
      </c>
    </row>
    <row r="132" spans="2:4">
      <c r="B132" s="332" t="s">
        <v>6</v>
      </c>
      <c r="C132" s="409">
        <f>+E108</f>
        <v>36</v>
      </c>
    </row>
    <row r="133" spans="2:4">
      <c r="B133" s="332" t="s">
        <v>10</v>
      </c>
      <c r="C133" s="409">
        <f>+E106</f>
        <v>32</v>
      </c>
    </row>
    <row r="134" spans="2:4">
      <c r="B134" s="332" t="s">
        <v>141</v>
      </c>
      <c r="C134" s="409">
        <f>+E112</f>
        <v>93</v>
      </c>
    </row>
    <row r="135" spans="2:4">
      <c r="B135" s="412"/>
      <c r="C135" s="413">
        <f>SUM(C128:C134)</f>
        <v>662</v>
      </c>
    </row>
    <row r="137" spans="2:4">
      <c r="B137" s="416" t="s">
        <v>144</v>
      </c>
      <c r="C137" s="416"/>
    </row>
    <row r="138" spans="2:4">
      <c r="B138" s="417" t="s">
        <v>1</v>
      </c>
      <c r="C138" s="418" t="s">
        <v>145</v>
      </c>
      <c r="D138" s="419"/>
    </row>
    <row r="139" spans="2:4">
      <c r="B139" s="321" t="s">
        <v>5</v>
      </c>
      <c r="C139" s="323">
        <f>C120+C130</f>
        <v>134</v>
      </c>
      <c r="D139" s="420"/>
    </row>
    <row r="140" spans="2:4">
      <c r="B140" s="321" t="s">
        <v>4</v>
      </c>
      <c r="C140" s="323">
        <f>C118+C128</f>
        <v>313</v>
      </c>
      <c r="D140" s="420"/>
    </row>
    <row r="141" spans="2:4">
      <c r="B141" s="321" t="s">
        <v>7</v>
      </c>
      <c r="C141" s="323">
        <f>C121+C131</f>
        <v>166</v>
      </c>
    </row>
    <row r="142" spans="2:4">
      <c r="B142" s="321" t="s">
        <v>6</v>
      </c>
      <c r="C142" s="323">
        <f>C122+C132</f>
        <v>72</v>
      </c>
      <c r="D142" s="420"/>
    </row>
    <row r="143" spans="2:4">
      <c r="B143" s="321" t="s">
        <v>18</v>
      </c>
      <c r="C143" s="421">
        <f>C119+C129</f>
        <v>385</v>
      </c>
      <c r="D143" s="422"/>
    </row>
    <row r="144" spans="2:4">
      <c r="B144" s="321" t="s">
        <v>141</v>
      </c>
      <c r="C144" s="423">
        <f>C124+C134</f>
        <v>186</v>
      </c>
      <c r="D144" s="424"/>
    </row>
    <row r="145" spans="2:4">
      <c r="B145" s="425"/>
      <c r="C145" s="426">
        <f>SUM(C139:C144)</f>
        <v>1256</v>
      </c>
      <c r="D145" s="424"/>
    </row>
    <row r="146" spans="2:4">
      <c r="B146" s="412"/>
      <c r="C146" s="427"/>
      <c r="D146" s="424"/>
    </row>
    <row r="147" spans="2:4">
      <c r="B147" s="428" t="s">
        <v>146</v>
      </c>
      <c r="C147" s="428"/>
      <c r="D147" s="424"/>
    </row>
    <row r="148" ht="14.25" customHeight="1" spans="2:4">
      <c r="B148" s="414" t="s">
        <v>1</v>
      </c>
      <c r="C148" s="429" t="s">
        <v>145</v>
      </c>
      <c r="D148" s="430"/>
    </row>
    <row r="149" ht="14.25" customHeight="1" spans="2:4">
      <c r="B149" s="332" t="s">
        <v>10</v>
      </c>
      <c r="C149" s="409">
        <f>C133+C123</f>
        <v>64</v>
      </c>
      <c r="D149" s="420"/>
    </row>
    <row r="150" ht="14.25" customHeight="1" spans="2:4">
      <c r="B150" s="332"/>
      <c r="C150" s="409">
        <f>+C149</f>
        <v>64</v>
      </c>
      <c r="D150" s="420"/>
    </row>
    <row r="151" ht="14.25" customHeight="1" spans="2:4">
      <c r="B151" s="412"/>
      <c r="C151" s="431"/>
      <c r="D151" s="420"/>
    </row>
    <row r="152" spans="2:4">
      <c r="B152" s="432" t="s">
        <v>147</v>
      </c>
      <c r="C152" s="432"/>
    </row>
    <row r="153" spans="2:4">
      <c r="B153" s="414" t="s">
        <v>1</v>
      </c>
      <c r="C153" s="429" t="s">
        <v>145</v>
      </c>
    </row>
    <row r="154" spans="2:4">
      <c r="B154" s="332" t="s">
        <v>4</v>
      </c>
      <c r="C154" s="333">
        <f>+C140</f>
        <v>313</v>
      </c>
      <c r="D154" s="420"/>
    </row>
    <row r="155" spans="2:4">
      <c r="B155" s="332" t="s">
        <v>5</v>
      </c>
      <c r="C155" s="333">
        <f>+C139</f>
        <v>134</v>
      </c>
      <c r="D155" s="420"/>
    </row>
    <row r="156" spans="2:4">
      <c r="B156" s="332" t="s">
        <v>7</v>
      </c>
      <c r="C156" s="333">
        <f>+C141</f>
        <v>166</v>
      </c>
      <c r="D156" s="420"/>
    </row>
    <row r="157" spans="2:4">
      <c r="B157" s="332" t="s">
        <v>6</v>
      </c>
      <c r="C157" s="333">
        <f>+C142</f>
        <v>72</v>
      </c>
      <c r="D157" s="420"/>
    </row>
    <row r="158" spans="2:4">
      <c r="B158" s="332" t="s">
        <v>10</v>
      </c>
      <c r="C158" s="333">
        <f>+C149</f>
        <v>64</v>
      </c>
      <c r="D158" s="420"/>
    </row>
    <row r="159" spans="2:4">
      <c r="B159" s="332" t="s">
        <v>18</v>
      </c>
      <c r="C159" s="333">
        <f>+C143</f>
        <v>385</v>
      </c>
      <c r="D159" s="420"/>
    </row>
    <row r="160" spans="2:4">
      <c r="B160" s="332" t="s">
        <v>141</v>
      </c>
      <c r="C160" s="333">
        <f>+C144</f>
        <v>186</v>
      </c>
      <c r="D160" s="420"/>
    </row>
    <row r="161" ht="14.25" customHeight="1" spans="2:3">
      <c r="C161" s="344">
        <f>C154+C155+C156+C158+C157+C159+C160</f>
        <v>1320</v>
      </c>
    </row>
    <row r="171" spans="2:3">
      <c r="B171" s="431"/>
    </row>
    <row r="172" spans="2:3">
      <c r="B172" s="431"/>
    </row>
    <row r="173" spans="2:3">
      <c r="B173" s="431"/>
    </row>
    <row r="174" spans="2:3">
      <c r="B174" s="431"/>
    </row>
    <row r="175" spans="2:3">
      <c r="B175" s="431"/>
    </row>
    <row r="176" spans="2:3">
      <c r="B176" s="431"/>
    </row>
  </sheetData>
  <mergeCells count="18">
    <mergeCell ref="B1:F1"/>
    <mergeCell ref="B2:C2"/>
    <mergeCell ref="E36:F36"/>
    <mergeCell ref="B53:F53"/>
    <mergeCell ref="B54:C54"/>
    <mergeCell ref="E84:F84"/>
    <mergeCell ref="B102:E102"/>
    <mergeCell ref="D110:E110"/>
    <mergeCell ref="D114:E114"/>
    <mergeCell ref="B115:C115"/>
    <mergeCell ref="D115:E115"/>
    <mergeCell ref="B137:C137"/>
    <mergeCell ref="B147:C147"/>
    <mergeCell ref="B152:C152"/>
    <mergeCell ref="B113:C114"/>
    <mergeCell ref="B109:C110"/>
    <mergeCell ref="B83:D84"/>
    <mergeCell ref="B35:D36"/>
  </mergeCells>
  <pageMargins left="0.7" right="0.7" top="0.75" bottom="0.75" header="0.3" footer="0.3"/>
  <pageSetup paperSize="1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176"/>
  <sheetViews>
    <sheetView view="pageBreakPreview" zoomScaleNormal="70" workbookViewId="0">
      <selection activeCell="E1" sqref="E1"/>
    </sheetView>
  </sheetViews>
  <sheetFormatPr defaultColWidth="11.4285714285714" defaultRowHeight="15"/>
  <cols>
    <col min="2" max="2" width="24.4285714285714" customWidth="1"/>
    <col min="3" max="3" width="18.5714285714286" customWidth="1"/>
    <col min="4" max="4" width="15.2857142857143" customWidth="1"/>
    <col min="5" max="5" width="15.5714285714286" customWidth="1"/>
    <col min="6" max="6" width="14.1428571428571" customWidth="1"/>
    <col min="7" max="7" width="14.4285714285714" customWidth="1"/>
    <col min="8" max="8" width="14.2857142857143" customWidth="1"/>
    <col min="9" max="9" width="14.1428571428571" customWidth="1"/>
    <col min="10" max="10" width="14" customWidth="1"/>
    <col min="11" max="11" width="16.5714285714286" customWidth="1"/>
    <col min="12" max="12" width="17.8571428571429" customWidth="1"/>
    <col min="13" max="13" width="16" customWidth="1"/>
    <col min="15" max="15" width="12.7142857142857" customWidth="1"/>
    <col min="16" max="16" width="14.4285714285714" customWidth="1"/>
    <col min="17" max="17" width="13.5714285714286" customWidth="1"/>
    <col min="18" max="18" width="11.7142857142857" customWidth="1"/>
    <col min="19" max="19" width="13.4285714285714" customWidth="1"/>
    <col min="20" max="20" width="12" customWidth="1"/>
    <col min="21" max="21" width="13.4285714285714" customWidth="1"/>
    <col min="22" max="22" width="10.2857142857143" customWidth="1"/>
    <col min="23" max="23" width="13.5714285714286" customWidth="1"/>
    <col min="24" max="24" width="12.1428571428571" customWidth="1"/>
    <col min="25" max="25" width="12.2857142857143" customWidth="1"/>
    <col min="26" max="26" width="13.8571428571429" customWidth="1"/>
    <col min="27" max="27" width="13.1428571428571" customWidth="1"/>
    <col min="28" max="28" width="13.7142857142857" customWidth="1"/>
    <col min="29" max="29" width="12" customWidth="1"/>
    <col min="30" max="31" width="14.2857142857143" customWidth="1"/>
    <col min="32" max="32" width="13.1428571428571" customWidth="1"/>
  </cols>
  <sheetData>
    <row r="2" ht="24" customHeight="1" spans="2:13">
      <c r="B2" s="177" t="s">
        <v>148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ht="16.5" spans="2:13">
      <c r="B3" s="179" t="s">
        <v>149</v>
      </c>
      <c r="C3" s="180">
        <v>2016</v>
      </c>
      <c r="D3" s="180">
        <v>2017</v>
      </c>
      <c r="E3" s="180">
        <v>2018</v>
      </c>
      <c r="F3" s="180">
        <v>2019</v>
      </c>
      <c r="G3" s="180">
        <v>2020</v>
      </c>
      <c r="H3" s="180">
        <v>2021</v>
      </c>
      <c r="I3" s="180">
        <v>2022</v>
      </c>
      <c r="J3" s="180">
        <v>2023</v>
      </c>
      <c r="K3" s="180">
        <v>2024</v>
      </c>
      <c r="L3" s="181">
        <v>2025</v>
      </c>
      <c r="M3" s="181">
        <v>2026</v>
      </c>
    </row>
    <row r="4" spans="2:13">
      <c r="B4" s="182" t="s">
        <v>150</v>
      </c>
      <c r="C4" s="183">
        <v>1727</v>
      </c>
      <c r="D4" s="184">
        <v>1818</v>
      </c>
      <c r="E4" s="184">
        <v>2399</v>
      </c>
      <c r="F4" s="184">
        <v>2241</v>
      </c>
      <c r="G4" s="184">
        <v>2333</v>
      </c>
      <c r="H4" s="184">
        <v>1418</v>
      </c>
      <c r="I4" s="184">
        <v>2314</v>
      </c>
      <c r="J4" s="184">
        <v>2050</v>
      </c>
      <c r="K4" s="184">
        <v>2090</v>
      </c>
      <c r="L4" s="185">
        <v>2146</v>
      </c>
      <c r="M4" s="185">
        <v>2288</v>
      </c>
    </row>
    <row r="5" spans="2:13">
      <c r="B5" s="186" t="s">
        <v>151</v>
      </c>
      <c r="C5" s="187">
        <v>1809</v>
      </c>
      <c r="D5" s="188">
        <v>1594</v>
      </c>
      <c r="E5" s="188">
        <v>2287</v>
      </c>
      <c r="F5" s="188">
        <v>2053</v>
      </c>
      <c r="G5" s="188">
        <v>2061</v>
      </c>
      <c r="H5" s="188">
        <v>1266</v>
      </c>
      <c r="I5" s="188">
        <v>2128</v>
      </c>
      <c r="J5" s="188">
        <v>1957</v>
      </c>
      <c r="K5" s="188">
        <v>2063</v>
      </c>
      <c r="L5" s="185">
        <v>1926</v>
      </c>
      <c r="M5" s="185">
        <v>2094</v>
      </c>
    </row>
    <row r="6" spans="2:13">
      <c r="B6" s="186" t="s">
        <v>152</v>
      </c>
      <c r="C6" s="187">
        <v>1740</v>
      </c>
      <c r="D6" s="188">
        <v>1763</v>
      </c>
      <c r="E6" s="188">
        <v>2327</v>
      </c>
      <c r="F6" s="188">
        <v>2123</v>
      </c>
      <c r="G6" s="188">
        <v>1476</v>
      </c>
      <c r="H6" s="188">
        <v>1547</v>
      </c>
      <c r="I6" s="188">
        <v>2452</v>
      </c>
      <c r="J6" s="188">
        <v>1776</v>
      </c>
      <c r="K6" s="188">
        <v>2106</v>
      </c>
      <c r="L6" s="185">
        <v>2148</v>
      </c>
      <c r="M6" s="185">
        <v>2343</v>
      </c>
    </row>
    <row r="7" spans="2:13">
      <c r="B7" s="186" t="s">
        <v>153</v>
      </c>
      <c r="C7" s="187">
        <v>1678</v>
      </c>
      <c r="D7" s="188">
        <v>1688</v>
      </c>
      <c r="E7" s="188">
        <v>2096</v>
      </c>
      <c r="F7" s="188">
        <v>2020</v>
      </c>
      <c r="G7" s="188">
        <v>60</v>
      </c>
      <c r="H7" s="188">
        <v>1441</v>
      </c>
      <c r="I7" s="188">
        <v>2299</v>
      </c>
      <c r="J7" s="188">
        <v>1676</v>
      </c>
      <c r="K7" s="188">
        <v>2140</v>
      </c>
      <c r="L7" s="185">
        <v>1821</v>
      </c>
      <c r="M7" s="185">
        <v>2213</v>
      </c>
    </row>
    <row r="8" spans="2:13">
      <c r="B8" s="186" t="s">
        <v>154</v>
      </c>
      <c r="C8" s="187">
        <v>1583</v>
      </c>
      <c r="D8" s="188">
        <v>1772</v>
      </c>
      <c r="E8" s="188">
        <v>2249</v>
      </c>
      <c r="F8" s="188">
        <v>2076</v>
      </c>
      <c r="G8" s="188">
        <v>123</v>
      </c>
      <c r="H8" s="188">
        <v>2005</v>
      </c>
      <c r="I8" s="188">
        <v>2424</v>
      </c>
      <c r="J8" s="188">
        <v>1812</v>
      </c>
      <c r="K8" s="188">
        <v>2227</v>
      </c>
      <c r="L8" s="185">
        <v>1765</v>
      </c>
      <c r="M8" s="185">
        <v>2289</v>
      </c>
    </row>
    <row r="9" spans="2:13">
      <c r="B9" s="186" t="s">
        <v>155</v>
      </c>
      <c r="C9" s="187">
        <v>1721</v>
      </c>
      <c r="D9" s="188">
        <v>1822</v>
      </c>
      <c r="E9" s="188">
        <v>2153</v>
      </c>
      <c r="F9" s="188">
        <v>1938</v>
      </c>
      <c r="G9" s="188">
        <v>241</v>
      </c>
      <c r="H9" s="188">
        <v>1773</v>
      </c>
      <c r="I9" s="188">
        <v>2298</v>
      </c>
      <c r="J9" s="188">
        <v>1807</v>
      </c>
      <c r="K9" s="188">
        <v>2071</v>
      </c>
      <c r="L9" s="185">
        <v>1874</v>
      </c>
      <c r="M9" s="185">
        <v>2303</v>
      </c>
    </row>
    <row r="10" spans="2:13">
      <c r="B10" s="186" t="s">
        <v>156</v>
      </c>
      <c r="C10" s="187">
        <v>1748</v>
      </c>
      <c r="D10" s="188">
        <v>1863</v>
      </c>
      <c r="E10" s="188">
        <v>2164</v>
      </c>
      <c r="F10" s="188">
        <v>2244</v>
      </c>
      <c r="G10" s="188">
        <v>292</v>
      </c>
      <c r="H10" s="188">
        <v>1894</v>
      </c>
      <c r="I10" s="188">
        <v>2307</v>
      </c>
      <c r="J10" s="188">
        <v>1836</v>
      </c>
      <c r="K10" s="188">
        <v>2278</v>
      </c>
      <c r="L10" s="185">
        <v>2010</v>
      </c>
      <c r="M10" s="185">
        <v>2314</v>
      </c>
    </row>
    <row r="11" spans="2:13">
      <c r="B11" s="186" t="s">
        <v>157</v>
      </c>
      <c r="C11" s="187">
        <v>1919</v>
      </c>
      <c r="D11" s="188">
        <v>2036</v>
      </c>
      <c r="E11" s="188">
        <v>2719</v>
      </c>
      <c r="F11" s="188">
        <v>2475</v>
      </c>
      <c r="G11" s="188">
        <v>335</v>
      </c>
      <c r="H11" s="188">
        <v>1898</v>
      </c>
      <c r="I11" s="188">
        <v>2374</v>
      </c>
      <c r="J11" s="188">
        <v>1974</v>
      </c>
      <c r="K11" s="188">
        <v>2364</v>
      </c>
      <c r="L11" s="189">
        <v>2115</v>
      </c>
      <c r="M11" s="185">
        <v>1320</v>
      </c>
    </row>
    <row r="12" spans="2:13">
      <c r="B12" s="186" t="s">
        <v>158</v>
      </c>
      <c r="C12" s="187">
        <v>1857</v>
      </c>
      <c r="D12" s="188">
        <v>1414</v>
      </c>
      <c r="E12" s="188">
        <v>2257</v>
      </c>
      <c r="F12" s="188">
        <v>2049</v>
      </c>
      <c r="G12" s="188">
        <v>777</v>
      </c>
      <c r="H12" s="188">
        <v>1854</v>
      </c>
      <c r="I12" s="188">
        <v>2235</v>
      </c>
      <c r="J12" s="188">
        <v>1882</v>
      </c>
      <c r="K12" s="188">
        <v>2078</v>
      </c>
      <c r="L12" s="189">
        <v>2012</v>
      </c>
      <c r="M12" s="189"/>
    </row>
    <row r="13" spans="2:13">
      <c r="B13" s="186" t="s">
        <v>159</v>
      </c>
      <c r="C13" s="187">
        <v>1920</v>
      </c>
      <c r="D13" s="188">
        <v>1541</v>
      </c>
      <c r="E13" s="188">
        <v>2298</v>
      </c>
      <c r="F13" s="188">
        <v>2382</v>
      </c>
      <c r="G13" s="188">
        <v>956</v>
      </c>
      <c r="H13" s="188">
        <v>1988</v>
      </c>
      <c r="I13" s="188">
        <v>2193</v>
      </c>
      <c r="J13" s="188">
        <v>2064</v>
      </c>
      <c r="K13" s="188">
        <v>2148</v>
      </c>
      <c r="L13" s="189">
        <v>2162</v>
      </c>
      <c r="M13" s="189"/>
    </row>
    <row r="14" spans="2:13">
      <c r="B14" s="186" t="s">
        <v>160</v>
      </c>
      <c r="C14" s="187">
        <v>1737</v>
      </c>
      <c r="D14" s="188">
        <v>2158</v>
      </c>
      <c r="E14" s="188">
        <v>2294</v>
      </c>
      <c r="F14" s="188">
        <v>2186</v>
      </c>
      <c r="G14" s="188">
        <v>978</v>
      </c>
      <c r="H14" s="188">
        <v>2092</v>
      </c>
      <c r="I14" s="188">
        <v>2084</v>
      </c>
      <c r="J14" s="188">
        <v>2608</v>
      </c>
      <c r="K14" s="188">
        <v>2072</v>
      </c>
      <c r="L14" s="189">
        <v>2222</v>
      </c>
      <c r="M14" s="189"/>
    </row>
    <row r="15" ht="15.75" spans="2:13">
      <c r="B15" s="190" t="s">
        <v>161</v>
      </c>
      <c r="C15" s="191">
        <v>1873</v>
      </c>
      <c r="D15" s="192">
        <v>2431</v>
      </c>
      <c r="E15" s="192">
        <v>2450</v>
      </c>
      <c r="F15" s="192">
        <v>2342</v>
      </c>
      <c r="G15" s="192">
        <v>1308</v>
      </c>
      <c r="H15" s="192">
        <v>2284</v>
      </c>
      <c r="I15" s="192">
        <v>2074</v>
      </c>
      <c r="J15" s="192">
        <v>2413</v>
      </c>
      <c r="K15" s="192">
        <v>2153</v>
      </c>
      <c r="L15" s="193">
        <v>2284</v>
      </c>
      <c r="M15" s="193"/>
    </row>
    <row r="16" ht="16.5" spans="2:13">
      <c r="B16" s="194" t="s">
        <v>15</v>
      </c>
      <c r="C16" s="195">
        <f>SUM(C4:C15)</f>
        <v>21312</v>
      </c>
      <c r="D16" s="196">
        <f t="shared" ref="D16:M16" si="0">SUM(D4:D15)</f>
        <v>21900</v>
      </c>
      <c r="E16" s="196">
        <f t="shared" si="0"/>
        <v>27693</v>
      </c>
      <c r="F16" s="196">
        <f t="shared" si="0"/>
        <v>26129</v>
      </c>
      <c r="G16" s="196">
        <f t="shared" si="0"/>
        <v>10940</v>
      </c>
      <c r="H16" s="196">
        <f t="shared" si="0"/>
        <v>21460</v>
      </c>
      <c r="I16" s="196">
        <f t="shared" si="0"/>
        <v>27182</v>
      </c>
      <c r="J16" s="196">
        <f t="shared" si="0"/>
        <v>23855</v>
      </c>
      <c r="K16" s="196">
        <f t="shared" si="0"/>
        <v>25790</v>
      </c>
      <c r="L16" s="197">
        <f t="shared" si="0"/>
        <v>24485</v>
      </c>
      <c r="M16" s="197">
        <f t="shared" si="0"/>
        <v>17164</v>
      </c>
    </row>
    <row r="19" spans="2:11">
      <c r="J19" s="198"/>
      <c r="K19" s="198"/>
    </row>
    <row r="20" spans="2:11">
      <c r="J20" s="198"/>
      <c r="K20" s="198"/>
    </row>
    <row r="21" spans="2:11">
      <c r="J21" s="198"/>
      <c r="K21" s="198"/>
    </row>
    <row r="22" spans="2:11">
      <c r="J22" s="198"/>
      <c r="K22" s="198"/>
    </row>
    <row r="23" spans="2:11">
      <c r="J23" s="198"/>
      <c r="K23" s="198"/>
    </row>
    <row r="24" spans="2:11">
      <c r="J24" s="198"/>
      <c r="K24" s="198"/>
    </row>
    <row r="25" spans="2:11">
      <c r="J25" s="198"/>
      <c r="K25" s="198"/>
    </row>
    <row r="26" spans="2:11">
      <c r="J26" s="198"/>
      <c r="K26" s="198"/>
    </row>
    <row r="27" spans="2:11">
      <c r="J27" s="198"/>
      <c r="K27" s="198"/>
    </row>
    <row r="28" spans="2:11">
      <c r="J28" s="198"/>
    </row>
    <row r="29" spans="2:11">
      <c r="J29" s="198"/>
    </row>
    <row r="30" spans="2:11">
      <c r="J30" s="198"/>
    </row>
    <row r="31" ht="15.75"/>
    <row r="32" ht="26.25" customHeight="1" spans="2:11">
      <c r="B32" s="199" t="s">
        <v>162</v>
      </c>
      <c r="C32" s="200"/>
      <c r="D32" s="200"/>
      <c r="E32" s="200"/>
      <c r="F32" s="200"/>
      <c r="G32" s="200"/>
      <c r="H32" s="200"/>
      <c r="I32" s="200"/>
      <c r="J32" s="200"/>
      <c r="K32" s="201"/>
    </row>
    <row r="33" ht="18" customHeight="1" spans="2:16">
      <c r="B33" s="202" t="s">
        <v>163</v>
      </c>
      <c r="C33" s="203">
        <v>2024</v>
      </c>
      <c r="D33" s="204"/>
      <c r="E33" s="204"/>
      <c r="F33" s="205" t="s">
        <v>15</v>
      </c>
      <c r="G33" s="203">
        <v>2025</v>
      </c>
      <c r="H33" s="204"/>
      <c r="I33" s="204"/>
      <c r="J33" s="205" t="s">
        <v>15</v>
      </c>
      <c r="K33" s="206" t="s">
        <v>164</v>
      </c>
      <c r="M33" s="207">
        <v>2026</v>
      </c>
      <c r="N33" s="207"/>
      <c r="O33" s="207"/>
      <c r="P33" s="208" t="s">
        <v>15</v>
      </c>
    </row>
    <row r="34" ht="24.75" spans="2:16">
      <c r="B34" s="209"/>
      <c r="C34" s="210" t="s">
        <v>165</v>
      </c>
      <c r="D34" s="211" t="s">
        <v>166</v>
      </c>
      <c r="E34" s="211" t="s">
        <v>167</v>
      </c>
      <c r="F34" s="212"/>
      <c r="G34" s="210" t="s">
        <v>165</v>
      </c>
      <c r="H34" s="211" t="s">
        <v>166</v>
      </c>
      <c r="I34" s="211" t="s">
        <v>167</v>
      </c>
      <c r="J34" s="212"/>
      <c r="K34" s="213"/>
      <c r="M34" s="214" t="s">
        <v>165</v>
      </c>
      <c r="N34" s="214" t="s">
        <v>166</v>
      </c>
      <c r="O34" s="214" t="s">
        <v>167</v>
      </c>
      <c r="P34" s="208"/>
    </row>
    <row r="35" spans="2:16">
      <c r="B35" s="215" t="s">
        <v>150</v>
      </c>
      <c r="C35" s="216">
        <v>34</v>
      </c>
      <c r="D35" s="217">
        <v>1792</v>
      </c>
      <c r="E35" s="217">
        <v>264</v>
      </c>
      <c r="F35" s="218">
        <f>SUM(C35:E35)</f>
        <v>2090</v>
      </c>
      <c r="G35" s="216">
        <v>30</v>
      </c>
      <c r="H35" s="217">
        <v>1814</v>
      </c>
      <c r="I35" s="217">
        <v>302</v>
      </c>
      <c r="J35" s="218">
        <f>SUM(G35:I35)</f>
        <v>2146</v>
      </c>
      <c r="K35" s="219">
        <f t="shared" ref="K35:K46" si="1">(J35/F35)-1</f>
        <v>0.0267942583732057</v>
      </c>
      <c r="M35" s="217">
        <v>34</v>
      </c>
      <c r="N35" s="217">
        <v>1947</v>
      </c>
      <c r="O35" s="217">
        <v>307</v>
      </c>
      <c r="P35" s="220">
        <f>M35+N35+O35</f>
        <v>2288</v>
      </c>
    </row>
    <row r="36" spans="2:16">
      <c r="B36" s="215" t="s">
        <v>151</v>
      </c>
      <c r="C36" s="216">
        <v>42</v>
      </c>
      <c r="D36" s="217">
        <v>1669</v>
      </c>
      <c r="E36" s="217">
        <v>352</v>
      </c>
      <c r="F36" s="218">
        <f>C36+D36+E36</f>
        <v>2063</v>
      </c>
      <c r="G36" s="216">
        <v>24</v>
      </c>
      <c r="H36" s="217">
        <v>1549</v>
      </c>
      <c r="I36" s="217">
        <v>353</v>
      </c>
      <c r="J36" s="218">
        <f>SUM(G36:I36)</f>
        <v>1926</v>
      </c>
      <c r="K36" s="221">
        <f t="shared" si="1"/>
        <v>-0.0664081434803684</v>
      </c>
      <c r="M36" s="217">
        <v>16</v>
      </c>
      <c r="N36" s="217">
        <v>1624</v>
      </c>
      <c r="O36" s="217">
        <v>454</v>
      </c>
      <c r="P36" s="220">
        <f>M36+N36+O36</f>
        <v>2094</v>
      </c>
    </row>
    <row r="37" spans="2:16">
      <c r="B37" s="215" t="s">
        <v>152</v>
      </c>
      <c r="C37" s="216">
        <v>26</v>
      </c>
      <c r="D37" s="217">
        <v>1757</v>
      </c>
      <c r="E37" s="217">
        <v>323</v>
      </c>
      <c r="F37" s="218">
        <f t="shared" ref="F37:F46" si="2">C37+D37+E37</f>
        <v>2106</v>
      </c>
      <c r="G37" s="216">
        <v>34</v>
      </c>
      <c r="H37" s="217">
        <v>1727</v>
      </c>
      <c r="I37" s="217">
        <v>387</v>
      </c>
      <c r="J37" s="218">
        <f>SUM(G37:I37)</f>
        <v>2148</v>
      </c>
      <c r="K37" s="219">
        <f t="shared" si="1"/>
        <v>0.0199430199430199</v>
      </c>
      <c r="M37" s="217">
        <v>8</v>
      </c>
      <c r="N37" s="217">
        <v>1888</v>
      </c>
      <c r="O37" s="217">
        <v>447</v>
      </c>
      <c r="P37" s="220">
        <f t="shared" ref="P37:P46" si="3">M37+N37+O37</f>
        <v>2343</v>
      </c>
    </row>
    <row r="38" customHeight="1" spans="2:16">
      <c r="B38" s="222" t="s">
        <v>153</v>
      </c>
      <c r="C38" s="217">
        <v>28</v>
      </c>
      <c r="D38" s="217">
        <v>1830</v>
      </c>
      <c r="E38" s="217">
        <v>282</v>
      </c>
      <c r="F38" s="218">
        <f t="shared" si="2"/>
        <v>2140</v>
      </c>
      <c r="G38" s="217">
        <v>38</v>
      </c>
      <c r="H38" s="217">
        <v>1484</v>
      </c>
      <c r="I38" s="217">
        <v>299</v>
      </c>
      <c r="J38" s="218">
        <v>1821</v>
      </c>
      <c r="K38" s="221">
        <f t="shared" si="1"/>
        <v>-0.149065420560748</v>
      </c>
      <c r="M38" s="217">
        <v>10</v>
      </c>
      <c r="N38" s="217">
        <v>1751</v>
      </c>
      <c r="O38" s="217">
        <v>452</v>
      </c>
      <c r="P38" s="220">
        <f t="shared" si="3"/>
        <v>2213</v>
      </c>
    </row>
    <row r="39" spans="2:16">
      <c r="B39" s="223" t="s">
        <v>154</v>
      </c>
      <c r="C39" s="217">
        <v>54</v>
      </c>
      <c r="D39" s="217">
        <v>1941</v>
      </c>
      <c r="E39" s="217">
        <v>232</v>
      </c>
      <c r="F39" s="218">
        <f t="shared" si="2"/>
        <v>2227</v>
      </c>
      <c r="G39" s="217">
        <v>20</v>
      </c>
      <c r="H39" s="217">
        <v>1410</v>
      </c>
      <c r="I39" s="217">
        <v>335</v>
      </c>
      <c r="J39" s="218">
        <v>1765</v>
      </c>
      <c r="K39" s="221">
        <f t="shared" si="1"/>
        <v>-0.207453973955995</v>
      </c>
      <c r="M39" s="217">
        <v>67</v>
      </c>
      <c r="N39" s="217">
        <v>1808</v>
      </c>
      <c r="O39" s="217">
        <v>414</v>
      </c>
      <c r="P39" s="220">
        <f t="shared" si="3"/>
        <v>2289</v>
      </c>
    </row>
    <row r="40" spans="2:16">
      <c r="B40" s="223" t="s">
        <v>155</v>
      </c>
      <c r="C40" s="217">
        <v>28</v>
      </c>
      <c r="D40" s="217">
        <v>1828</v>
      </c>
      <c r="E40" s="217">
        <v>215</v>
      </c>
      <c r="F40" s="218">
        <f t="shared" si="2"/>
        <v>2071</v>
      </c>
      <c r="G40" s="217">
        <v>28</v>
      </c>
      <c r="H40" s="217">
        <v>1542</v>
      </c>
      <c r="I40" s="217">
        <v>304</v>
      </c>
      <c r="J40" s="218">
        <v>1874</v>
      </c>
      <c r="K40" s="221">
        <f t="shared" si="1"/>
        <v>-0.0951231289232255</v>
      </c>
      <c r="M40" s="217">
        <v>56</v>
      </c>
      <c r="N40" s="217">
        <v>1869</v>
      </c>
      <c r="O40" s="217">
        <v>378</v>
      </c>
      <c r="P40" s="220">
        <f t="shared" si="3"/>
        <v>2303</v>
      </c>
    </row>
    <row r="41" spans="2:16">
      <c r="B41" s="223" t="s">
        <v>156</v>
      </c>
      <c r="C41" s="224">
        <v>14</v>
      </c>
      <c r="D41" s="224">
        <v>1955</v>
      </c>
      <c r="E41" s="224">
        <v>327</v>
      </c>
      <c r="F41" s="218">
        <f t="shared" si="2"/>
        <v>2296</v>
      </c>
      <c r="G41" s="224">
        <v>42</v>
      </c>
      <c r="H41" s="224">
        <v>1595</v>
      </c>
      <c r="I41" s="224">
        <v>367</v>
      </c>
      <c r="J41" s="225">
        <v>2004</v>
      </c>
      <c r="K41" s="226">
        <f t="shared" si="1"/>
        <v>-0.127177700348432</v>
      </c>
      <c r="M41" s="224">
        <v>38</v>
      </c>
      <c r="N41" s="224">
        <v>1946</v>
      </c>
      <c r="O41" s="224">
        <v>330</v>
      </c>
      <c r="P41" s="220">
        <f t="shared" si="3"/>
        <v>2314</v>
      </c>
    </row>
    <row r="42" spans="2:16">
      <c r="B42" s="223" t="s">
        <v>157</v>
      </c>
      <c r="C42" s="217">
        <v>78</v>
      </c>
      <c r="D42" s="217">
        <v>1991</v>
      </c>
      <c r="E42" s="217">
        <v>300</v>
      </c>
      <c r="F42" s="218">
        <f t="shared" si="2"/>
        <v>2369</v>
      </c>
      <c r="G42" s="217">
        <v>84</v>
      </c>
      <c r="H42" s="217">
        <v>1612</v>
      </c>
      <c r="I42" s="217">
        <v>419</v>
      </c>
      <c r="J42" s="218">
        <f>G42+H42+I42</f>
        <v>2115</v>
      </c>
      <c r="K42" s="226">
        <f t="shared" si="1"/>
        <v>-0.107218235542423</v>
      </c>
      <c r="M42" s="217">
        <v>186</v>
      </c>
      <c r="N42" s="217">
        <v>749</v>
      </c>
      <c r="O42" s="217">
        <v>385</v>
      </c>
      <c r="P42" s="220">
        <f t="shared" si="3"/>
        <v>1320</v>
      </c>
    </row>
    <row r="43" spans="2:16">
      <c r="B43" s="223" t="s">
        <v>158</v>
      </c>
      <c r="C43" s="217">
        <v>62</v>
      </c>
      <c r="D43" s="217">
        <v>1789</v>
      </c>
      <c r="E43" s="217">
        <v>227</v>
      </c>
      <c r="F43" s="218">
        <f t="shared" si="2"/>
        <v>2078</v>
      </c>
      <c r="G43" s="217">
        <v>46</v>
      </c>
      <c r="H43" s="217">
        <v>1579</v>
      </c>
      <c r="I43" s="217">
        <v>387</v>
      </c>
      <c r="J43" s="218">
        <f>G43+H43+I43</f>
        <v>2012</v>
      </c>
      <c r="K43" s="226">
        <f t="shared" si="1"/>
        <v>-0.0317613089509143</v>
      </c>
      <c r="M43" s="217"/>
      <c r="N43" s="217"/>
      <c r="O43" s="217"/>
      <c r="P43" s="220">
        <f t="shared" si="3"/>
        <v>0</v>
      </c>
    </row>
    <row r="44" spans="2:16">
      <c r="B44" s="223" t="s">
        <v>159</v>
      </c>
      <c r="C44" s="217">
        <v>48</v>
      </c>
      <c r="D44" s="217">
        <v>1740</v>
      </c>
      <c r="E44" s="217">
        <v>360</v>
      </c>
      <c r="F44" s="218">
        <f t="shared" si="2"/>
        <v>2148</v>
      </c>
      <c r="G44" s="217">
        <v>36</v>
      </c>
      <c r="H44" s="217">
        <v>1709</v>
      </c>
      <c r="I44" s="217">
        <v>417</v>
      </c>
      <c r="J44" s="218">
        <f>G44+H44+I44</f>
        <v>2162</v>
      </c>
      <c r="K44" s="226">
        <f t="shared" si="1"/>
        <v>0.00651769087523268</v>
      </c>
      <c r="M44" s="217"/>
      <c r="N44" s="217"/>
      <c r="O44" s="217"/>
      <c r="P44" s="220">
        <f t="shared" si="3"/>
        <v>0</v>
      </c>
    </row>
    <row r="45" spans="2:16">
      <c r="B45" s="223" t="s">
        <v>160</v>
      </c>
      <c r="C45" s="217">
        <v>24</v>
      </c>
      <c r="D45" s="217">
        <v>1714</v>
      </c>
      <c r="E45" s="217">
        <v>334</v>
      </c>
      <c r="F45" s="218">
        <f t="shared" si="2"/>
        <v>2072</v>
      </c>
      <c r="G45" s="217">
        <v>30</v>
      </c>
      <c r="H45" s="217">
        <v>1813</v>
      </c>
      <c r="I45" s="217">
        <v>379</v>
      </c>
      <c r="J45" s="218">
        <f>G45+H45+I45</f>
        <v>2222</v>
      </c>
      <c r="K45" s="226">
        <f t="shared" si="1"/>
        <v>0.0723938223938223</v>
      </c>
      <c r="M45" s="217"/>
      <c r="N45" s="217"/>
      <c r="O45" s="217"/>
      <c r="P45" s="220">
        <f t="shared" si="3"/>
        <v>0</v>
      </c>
    </row>
    <row r="46" ht="15.75" spans="2:16">
      <c r="B46" s="223" t="s">
        <v>161</v>
      </c>
      <c r="C46" s="217">
        <v>76</v>
      </c>
      <c r="D46" s="217">
        <v>1823</v>
      </c>
      <c r="E46" s="217">
        <v>254</v>
      </c>
      <c r="F46" s="218">
        <f t="shared" si="2"/>
        <v>2153</v>
      </c>
      <c r="G46" s="217">
        <v>36</v>
      </c>
      <c r="H46" s="217">
        <v>1951</v>
      </c>
      <c r="I46" s="217">
        <v>297</v>
      </c>
      <c r="J46" s="218">
        <f>G46+H46+I46</f>
        <v>2284</v>
      </c>
      <c r="K46" s="226">
        <f t="shared" si="1"/>
        <v>0.0608453320947515</v>
      </c>
      <c r="M46" s="217"/>
      <c r="N46" s="217"/>
      <c r="O46" s="217"/>
      <c r="P46" s="220">
        <f t="shared" si="3"/>
        <v>0</v>
      </c>
    </row>
    <row r="47" ht="21" spans="2:16">
      <c r="B47" s="227" t="s">
        <v>15</v>
      </c>
      <c r="C47" s="228">
        <f>SUM(C35:C46)</f>
        <v>514</v>
      </c>
      <c r="D47" s="229">
        <f>SUM(D35:D46)</f>
        <v>21829</v>
      </c>
      <c r="E47" s="229">
        <f>SUM(E35:E46)</f>
        <v>3470</v>
      </c>
      <c r="F47" s="230">
        <f>SUM(F35:F46)</f>
        <v>25813</v>
      </c>
      <c r="G47" s="228">
        <f t="shared" ref="G47:J47" si="4">SUM(G35:G46)</f>
        <v>448</v>
      </c>
      <c r="H47" s="228">
        <f t="shared" si="4"/>
        <v>19785</v>
      </c>
      <c r="I47" s="228">
        <f t="shared" si="4"/>
        <v>4246</v>
      </c>
      <c r="J47" s="228">
        <f t="shared" si="4"/>
        <v>24479</v>
      </c>
      <c r="K47" s="231">
        <f>(J47/(F35+F36+F37+F38+F39+F40+F41))-1</f>
        <v>0.632695257786967</v>
      </c>
      <c r="M47" s="232">
        <f t="shared" ref="M47:P47" si="5">SUM(M35:M46)</f>
        <v>415</v>
      </c>
      <c r="N47" s="232">
        <f t="shared" si="5"/>
        <v>13582</v>
      </c>
      <c r="O47" s="232">
        <f t="shared" si="5"/>
        <v>3167</v>
      </c>
      <c r="P47" s="232">
        <f t="shared" si="5"/>
        <v>17164</v>
      </c>
    </row>
    <row r="48" ht="15.75" spans="2:16">
      <c r="F48" s="233"/>
    </row>
    <row r="49" spans="2:12">
      <c r="B49" s="234"/>
      <c r="C49" s="235">
        <v>2024</v>
      </c>
      <c r="D49" s="236"/>
      <c r="E49" s="236"/>
      <c r="F49" s="237"/>
      <c r="G49" s="235">
        <v>2025</v>
      </c>
      <c r="H49" s="236"/>
      <c r="I49" s="236"/>
      <c r="J49" s="236"/>
      <c r="K49" s="238"/>
    </row>
    <row r="50" ht="52.5" customHeight="1" spans="2:12">
      <c r="B50" s="239"/>
      <c r="C50" s="214" t="s">
        <v>165</v>
      </c>
      <c r="D50" s="214" t="s">
        <v>166</v>
      </c>
      <c r="E50" s="214" t="s">
        <v>167</v>
      </c>
      <c r="F50" s="240" t="s">
        <v>15</v>
      </c>
      <c r="G50" s="214" t="s">
        <v>165</v>
      </c>
      <c r="H50" s="214" t="s">
        <v>166</v>
      </c>
      <c r="I50" s="214" t="s">
        <v>167</v>
      </c>
      <c r="J50" s="208" t="s">
        <v>15</v>
      </c>
      <c r="K50" s="241" t="s">
        <v>164</v>
      </c>
    </row>
    <row r="51" ht="27.75" customHeight="1" spans="2:12">
      <c r="B51" s="242" t="s">
        <v>168</v>
      </c>
      <c r="C51" s="243">
        <v>514</v>
      </c>
      <c r="D51" s="243">
        <v>21829</v>
      </c>
      <c r="E51" s="243">
        <v>3470</v>
      </c>
      <c r="F51" s="244">
        <f>C51+D51+E51</f>
        <v>25813</v>
      </c>
      <c r="G51" s="243">
        <v>448</v>
      </c>
      <c r="H51" s="243">
        <v>19785</v>
      </c>
      <c r="I51" s="243">
        <v>4246</v>
      </c>
      <c r="J51" s="244">
        <f>G51+H51+I51</f>
        <v>24479</v>
      </c>
      <c r="K51" s="245">
        <f>+K46</f>
        <v>0.0608453320947515</v>
      </c>
    </row>
    <row r="52" ht="18" spans="2:12">
      <c r="B52" s="246"/>
      <c r="C52" s="247"/>
      <c r="D52" s="247"/>
      <c r="E52" s="247"/>
      <c r="F52" s="247"/>
      <c r="G52" s="247"/>
      <c r="H52" s="247"/>
      <c r="I52" s="247"/>
      <c r="J52" s="247"/>
      <c r="K52" s="248"/>
    </row>
    <row r="53" ht="18" spans="2:12">
      <c r="B53" s="246"/>
      <c r="C53" s="247"/>
      <c r="D53" s="247"/>
      <c r="E53" s="247"/>
      <c r="F53" s="247"/>
      <c r="G53" s="247"/>
      <c r="H53" s="247"/>
      <c r="I53" s="247"/>
      <c r="J53" s="247"/>
      <c r="K53" s="248"/>
    </row>
    <row r="54" ht="18" spans="2:12">
      <c r="B54" s="246"/>
      <c r="C54" s="247"/>
      <c r="D54" s="247"/>
      <c r="E54" s="247"/>
      <c r="F54" s="247"/>
      <c r="G54" s="247"/>
      <c r="H54" s="247"/>
      <c r="I54" s="247"/>
      <c r="J54" s="247"/>
      <c r="K54" s="248"/>
    </row>
    <row r="55" ht="18" spans="2:12">
      <c r="B55" s="246"/>
      <c r="C55" s="247"/>
      <c r="D55" s="247"/>
      <c r="E55" s="247"/>
      <c r="F55" s="247"/>
      <c r="G55" s="247"/>
      <c r="H55" s="247"/>
      <c r="I55" s="247"/>
      <c r="J55" s="247"/>
      <c r="K55" s="248"/>
    </row>
    <row r="56" ht="18" spans="2:12">
      <c r="B56" s="246"/>
      <c r="C56" s="247"/>
      <c r="D56" s="247"/>
      <c r="E56" s="247"/>
      <c r="F56" s="247"/>
      <c r="G56" s="247"/>
      <c r="H56" s="247"/>
      <c r="I56" s="247"/>
      <c r="J56" s="247"/>
      <c r="K56" s="248"/>
    </row>
    <row r="57" spans="2:12">
      <c r="K57" s="249"/>
    </row>
    <row r="60" ht="30.75" customHeight="1" spans="2:12">
      <c r="B60" s="250" t="s">
        <v>169</v>
      </c>
      <c r="C60" s="251"/>
      <c r="D60" s="251"/>
      <c r="E60" s="251"/>
      <c r="F60" s="251"/>
      <c r="G60" s="251"/>
      <c r="H60" s="251"/>
      <c r="I60" s="251"/>
      <c r="J60" s="251"/>
      <c r="K60" s="252"/>
    </row>
    <row r="61" ht="33.75" customHeight="1" spans="2:12">
      <c r="B61" s="253" t="s">
        <v>170</v>
      </c>
      <c r="C61" s="254" t="s">
        <v>4</v>
      </c>
      <c r="D61" s="254" t="s">
        <v>5</v>
      </c>
      <c r="E61" s="254" t="s">
        <v>6</v>
      </c>
      <c r="F61" s="254" t="s">
        <v>7</v>
      </c>
      <c r="G61" s="254" t="s">
        <v>10</v>
      </c>
      <c r="H61" s="254" t="s">
        <v>171</v>
      </c>
      <c r="I61" s="255" t="s">
        <v>172</v>
      </c>
      <c r="J61" s="256" t="s">
        <v>15</v>
      </c>
    </row>
    <row r="62" ht="30.75" customHeight="1" spans="2:12">
      <c r="B62" s="253" t="s">
        <v>173</v>
      </c>
      <c r="C62" s="257">
        <f>C63+C64+C65+C66</f>
        <v>156</v>
      </c>
      <c r="D62" s="257">
        <f>D63+D64+D65+D66</f>
        <v>65</v>
      </c>
      <c r="E62" s="257">
        <f>E63+E64+E65+E66</f>
        <v>36</v>
      </c>
      <c r="F62" s="257">
        <f t="shared" ref="F62:I62" si="6">F63+F64+F65+F66</f>
        <v>72</v>
      </c>
      <c r="G62" s="257">
        <f t="shared" si="6"/>
        <v>28</v>
      </c>
      <c r="H62" s="257">
        <f t="shared" si="6"/>
        <v>0</v>
      </c>
      <c r="I62" s="258">
        <f t="shared" si="6"/>
        <v>0</v>
      </c>
      <c r="J62" s="259">
        <f>SUM(C62:I62)</f>
        <v>357</v>
      </c>
    </row>
    <row r="63" ht="45.75" customHeight="1" spans="2:12">
      <c r="B63" s="260" t="s">
        <v>174</v>
      </c>
      <c r="C63" s="261">
        <v>69</v>
      </c>
      <c r="D63" s="261">
        <v>36</v>
      </c>
      <c r="E63" s="261">
        <v>21</v>
      </c>
      <c r="F63" s="261">
        <v>25</v>
      </c>
      <c r="G63" s="261">
        <v>16</v>
      </c>
      <c r="H63" s="261">
        <v>0</v>
      </c>
      <c r="I63" s="262">
        <v>0</v>
      </c>
      <c r="J63" s="263">
        <f>SUM(D63:I63)</f>
        <v>98</v>
      </c>
      <c r="L63" s="264"/>
    </row>
    <row r="64" ht="45.75" customHeight="1" spans="2:12">
      <c r="B64" s="260" t="s">
        <v>175</v>
      </c>
      <c r="C64" s="261">
        <v>67</v>
      </c>
      <c r="D64" s="261">
        <v>20</v>
      </c>
      <c r="E64" s="261">
        <v>10</v>
      </c>
      <c r="F64" s="261">
        <v>33</v>
      </c>
      <c r="G64" s="261">
        <v>11</v>
      </c>
      <c r="H64" s="261">
        <v>0</v>
      </c>
      <c r="I64" s="262">
        <v>0</v>
      </c>
      <c r="J64" s="263">
        <f>SUM(D64:I64)</f>
        <v>74</v>
      </c>
      <c r="L64" s="264"/>
    </row>
    <row r="65" ht="45.75" customHeight="1" spans="2:12">
      <c r="B65" s="260" t="s">
        <v>176</v>
      </c>
      <c r="C65" s="261">
        <v>13</v>
      </c>
      <c r="D65" s="261">
        <v>6</v>
      </c>
      <c r="E65" s="261">
        <v>2</v>
      </c>
      <c r="F65" s="261">
        <v>11</v>
      </c>
      <c r="G65" s="261">
        <v>0</v>
      </c>
      <c r="H65" s="261">
        <v>0</v>
      </c>
      <c r="I65" s="262">
        <v>0</v>
      </c>
      <c r="J65" s="263">
        <f>SUM(D65:I65)</f>
        <v>19</v>
      </c>
      <c r="L65" s="264"/>
    </row>
    <row r="66" ht="45.75" customHeight="1" spans="2:12">
      <c r="B66" s="265" t="s">
        <v>177</v>
      </c>
      <c r="C66" s="266">
        <v>7</v>
      </c>
      <c r="D66" s="266">
        <v>3</v>
      </c>
      <c r="E66" s="266">
        <v>3</v>
      </c>
      <c r="F66" s="266">
        <v>3</v>
      </c>
      <c r="G66" s="266">
        <v>1</v>
      </c>
      <c r="H66" s="266">
        <v>0</v>
      </c>
      <c r="I66" s="262">
        <v>0</v>
      </c>
      <c r="J66" s="263">
        <f>SUM(D66:I66)</f>
        <v>10</v>
      </c>
      <c r="L66" s="264"/>
    </row>
    <row r="67" ht="45.75" customHeight="1" spans="2:12">
      <c r="B67" s="267" t="s">
        <v>178</v>
      </c>
      <c r="C67" s="268">
        <f>(C62/J62)</f>
        <v>0.436974789915966</v>
      </c>
      <c r="D67" s="268">
        <f>(D62/J62)</f>
        <v>0.182072829131653</v>
      </c>
      <c r="E67" s="268">
        <f>(E62/J62)</f>
        <v>0.100840336134454</v>
      </c>
      <c r="F67" s="268">
        <f>(F62/J62)</f>
        <v>0.201680672268908</v>
      </c>
      <c r="G67" s="268">
        <f>(G62/J62)</f>
        <v>0.0784313725490196</v>
      </c>
      <c r="H67" s="268">
        <v>0</v>
      </c>
      <c r="I67" s="268">
        <v>0</v>
      </c>
      <c r="J67" s="269">
        <f>C67+D67+E67+F67+G67+H67</f>
        <v>1</v>
      </c>
      <c r="L67" s="264"/>
    </row>
    <row r="68" ht="15.75" spans="2:12">
      <c r="C68" s="270"/>
      <c r="D68" s="271"/>
      <c r="E68" s="271"/>
      <c r="F68" s="271"/>
      <c r="G68" s="271"/>
      <c r="H68" s="272"/>
      <c r="I68" s="273"/>
      <c r="J68" s="273"/>
    </row>
    <row r="69" ht="24" customHeight="1" spans="2:12">
      <c r="B69" s="274" t="s">
        <v>179</v>
      </c>
      <c r="C69" s="275"/>
      <c r="D69" s="275"/>
      <c r="E69" s="275"/>
      <c r="F69" s="275"/>
      <c r="G69" s="275"/>
      <c r="H69" s="275"/>
      <c r="I69" s="275"/>
      <c r="J69" s="276"/>
      <c r="K69" s="28"/>
    </row>
    <row r="70" ht="30" customHeight="1" spans="2:12">
      <c r="B70" s="277" t="s">
        <v>170</v>
      </c>
      <c r="C70" s="278" t="s">
        <v>4</v>
      </c>
      <c r="D70" s="278" t="s">
        <v>180</v>
      </c>
      <c r="E70" s="278" t="s">
        <v>6</v>
      </c>
      <c r="F70" s="278" t="s">
        <v>7</v>
      </c>
      <c r="G70" s="278" t="s">
        <v>10</v>
      </c>
      <c r="H70" s="278" t="s">
        <v>172</v>
      </c>
      <c r="I70" s="278" t="s">
        <v>181</v>
      </c>
      <c r="J70" s="279" t="s">
        <v>15</v>
      </c>
    </row>
    <row r="71" ht="18.75" spans="2:12">
      <c r="B71" s="280" t="s">
        <v>173</v>
      </c>
      <c r="C71" s="281">
        <f>+C62</f>
        <v>156</v>
      </c>
      <c r="D71" s="281">
        <f t="shared" ref="D71:I71" si="7">+D62</f>
        <v>65</v>
      </c>
      <c r="E71" s="281">
        <f t="shared" si="7"/>
        <v>36</v>
      </c>
      <c r="F71" s="281">
        <f t="shared" si="7"/>
        <v>72</v>
      </c>
      <c r="G71" s="281">
        <f t="shared" si="7"/>
        <v>28</v>
      </c>
      <c r="H71" s="281">
        <f t="shared" si="7"/>
        <v>0</v>
      </c>
      <c r="I71" s="281">
        <f t="shared" si="7"/>
        <v>0</v>
      </c>
      <c r="J71" s="282">
        <f>SUM(C71:I71)</f>
        <v>357</v>
      </c>
    </row>
    <row r="73" ht="15.75"/>
    <row r="74" ht="35.25" customHeight="1" spans="2:12">
      <c r="B74" s="283" t="s">
        <v>182</v>
      </c>
      <c r="C74" s="284"/>
      <c r="D74" s="284"/>
      <c r="E74" s="284"/>
      <c r="F74" s="284"/>
      <c r="G74" s="284"/>
      <c r="H74" s="284"/>
      <c r="I74" s="284"/>
      <c r="J74" s="285"/>
      <c r="K74" s="286"/>
    </row>
    <row r="75" ht="35.25" customHeight="1" spans="2:12">
      <c r="B75" s="287" t="s">
        <v>170</v>
      </c>
      <c r="C75" s="255" t="s">
        <v>4</v>
      </c>
      <c r="D75" s="255" t="s">
        <v>180</v>
      </c>
      <c r="E75" s="255" t="s">
        <v>6</v>
      </c>
      <c r="F75" s="255" t="s">
        <v>7</v>
      </c>
      <c r="G75" s="255" t="s">
        <v>10</v>
      </c>
      <c r="H75" s="254" t="s">
        <v>171</v>
      </c>
      <c r="I75" s="255" t="s">
        <v>172</v>
      </c>
      <c r="J75" s="288" t="s">
        <v>15</v>
      </c>
    </row>
    <row r="76" ht="33" customHeight="1" spans="2:12">
      <c r="B76" s="287" t="s">
        <v>173</v>
      </c>
      <c r="C76" s="258">
        <f>C77+C78+C79+C80</f>
        <v>415</v>
      </c>
      <c r="D76" s="258">
        <f t="shared" ref="D76:I76" si="8">D77+D78+D79+D80</f>
        <v>142</v>
      </c>
      <c r="E76" s="258">
        <f t="shared" si="8"/>
        <v>91</v>
      </c>
      <c r="F76" s="258">
        <f t="shared" si="8"/>
        <v>97</v>
      </c>
      <c r="G76" s="258">
        <f t="shared" si="8"/>
        <v>62</v>
      </c>
      <c r="H76" s="258">
        <f t="shared" si="8"/>
        <v>0</v>
      </c>
      <c r="I76" s="258">
        <f t="shared" si="8"/>
        <v>0</v>
      </c>
      <c r="J76" s="289">
        <f>SUM(C76:I76)</f>
        <v>807</v>
      </c>
    </row>
    <row r="77" ht="51" customHeight="1" spans="2:12">
      <c r="B77" s="260" t="s">
        <v>174</v>
      </c>
      <c r="C77" s="261">
        <v>102</v>
      </c>
      <c r="D77" s="261">
        <v>18</v>
      </c>
      <c r="E77" s="262">
        <v>24</v>
      </c>
      <c r="F77" s="262">
        <v>47</v>
      </c>
      <c r="G77" s="262">
        <v>52</v>
      </c>
      <c r="H77" s="262">
        <v>0</v>
      </c>
      <c r="I77" s="262">
        <v>0</v>
      </c>
      <c r="J77" s="290">
        <f>SUM(C77:I77)</f>
        <v>243</v>
      </c>
      <c r="K77" s="233"/>
    </row>
    <row r="78" ht="51" customHeight="1" spans="2:12">
      <c r="B78" s="260" t="s">
        <v>175</v>
      </c>
      <c r="C78" s="261">
        <v>203</v>
      </c>
      <c r="D78" s="261">
        <v>89</v>
      </c>
      <c r="E78" s="262">
        <v>41</v>
      </c>
      <c r="F78" s="262">
        <v>27</v>
      </c>
      <c r="G78" s="262">
        <v>7</v>
      </c>
      <c r="H78" s="262">
        <v>0</v>
      </c>
      <c r="I78" s="262">
        <v>0</v>
      </c>
      <c r="J78" s="290">
        <f>SUM(C78:I78)</f>
        <v>367</v>
      </c>
    </row>
    <row r="79" ht="51" customHeight="1" spans="2:12">
      <c r="B79" s="260" t="s">
        <v>176</v>
      </c>
      <c r="C79" s="261">
        <v>66</v>
      </c>
      <c r="D79" s="261">
        <v>27</v>
      </c>
      <c r="E79" s="262">
        <v>22</v>
      </c>
      <c r="F79" s="262">
        <v>10</v>
      </c>
      <c r="G79" s="262">
        <v>1</v>
      </c>
      <c r="H79" s="262">
        <v>0</v>
      </c>
      <c r="I79" s="262">
        <v>0</v>
      </c>
      <c r="J79" s="291">
        <f>SUM(C79:I79)</f>
        <v>126</v>
      </c>
    </row>
    <row r="80" ht="51" customHeight="1" spans="2:12">
      <c r="B80" s="265" t="s">
        <v>177</v>
      </c>
      <c r="C80" s="266">
        <v>44</v>
      </c>
      <c r="D80" s="266">
        <v>8</v>
      </c>
      <c r="E80" s="262">
        <v>4</v>
      </c>
      <c r="F80" s="262">
        <v>13</v>
      </c>
      <c r="G80" s="262">
        <v>2</v>
      </c>
      <c r="H80" s="262">
        <v>0</v>
      </c>
      <c r="I80" s="262">
        <v>0</v>
      </c>
      <c r="J80" s="291">
        <f>SUM(C80:I80)</f>
        <v>71</v>
      </c>
    </row>
    <row r="81" ht="44.25" customHeight="1" spans="2:10">
      <c r="B81" s="267" t="s">
        <v>178</v>
      </c>
      <c r="C81" s="292">
        <f>C76/J76</f>
        <v>0.514250309789343</v>
      </c>
      <c r="D81" s="292">
        <f>D76/J76</f>
        <v>0.175960346964064</v>
      </c>
      <c r="E81" s="292">
        <f>E76/J76</f>
        <v>0.11276332094176</v>
      </c>
      <c r="F81" s="292">
        <f>F76/J76</f>
        <v>0.120198265179678</v>
      </c>
      <c r="G81" s="292">
        <f>G76/J76</f>
        <v>0.0768277571251549</v>
      </c>
      <c r="H81" s="292">
        <f>H76/J76</f>
        <v>0</v>
      </c>
      <c r="I81" s="292">
        <f>I76/J76</f>
        <v>0</v>
      </c>
      <c r="J81" s="293">
        <f>C81+D81+E81+F81+G81+H81+I81</f>
        <v>1</v>
      </c>
    </row>
    <row r="83" ht="15.75"/>
    <row r="84" ht="15.75" spans="2:10">
      <c r="B84" s="274" t="s">
        <v>179</v>
      </c>
      <c r="C84" s="275"/>
      <c r="D84" s="275"/>
      <c r="E84" s="275"/>
      <c r="F84" s="275"/>
      <c r="G84" s="275"/>
      <c r="H84" s="275"/>
      <c r="I84" s="275"/>
      <c r="J84" s="276"/>
    </row>
    <row r="85" ht="15.75" spans="2:10">
      <c r="B85" s="277" t="s">
        <v>170</v>
      </c>
      <c r="C85" s="278" t="s">
        <v>4</v>
      </c>
      <c r="D85" s="278" t="s">
        <v>180</v>
      </c>
      <c r="E85" s="278" t="s">
        <v>6</v>
      </c>
      <c r="F85" s="278" t="s">
        <v>7</v>
      </c>
      <c r="G85" s="278" t="s">
        <v>10</v>
      </c>
      <c r="H85" s="278" t="s">
        <v>172</v>
      </c>
      <c r="I85" s="278" t="s">
        <v>181</v>
      </c>
      <c r="J85" s="279" t="s">
        <v>15</v>
      </c>
    </row>
    <row r="86" ht="18.75" spans="2:10">
      <c r="B86" s="280" t="s">
        <v>173</v>
      </c>
      <c r="C86" s="281">
        <f t="shared" ref="C86:I86" si="9">+C76</f>
        <v>415</v>
      </c>
      <c r="D86" s="281">
        <f t="shared" si="9"/>
        <v>142</v>
      </c>
      <c r="E86" s="281">
        <f t="shared" si="9"/>
        <v>91</v>
      </c>
      <c r="F86" s="281">
        <f t="shared" si="9"/>
        <v>97</v>
      </c>
      <c r="G86" s="281">
        <f t="shared" si="9"/>
        <v>62</v>
      </c>
      <c r="H86" s="281">
        <f t="shared" si="9"/>
        <v>0</v>
      </c>
      <c r="I86" s="281">
        <f t="shared" si="9"/>
        <v>0</v>
      </c>
      <c r="J86" s="282">
        <f>SUM(C86:I86)</f>
        <v>807</v>
      </c>
    </row>
    <row r="87" ht="15.75"/>
    <row r="88" ht="21" customHeight="1" spans="2:10">
      <c r="C88" s="294" t="s">
        <v>150</v>
      </c>
      <c r="D88" s="295"/>
      <c r="E88" s="296"/>
      <c r="G88" s="297"/>
      <c r="H88" s="297"/>
      <c r="I88" s="297"/>
    </row>
    <row r="89" ht="19.5" customHeight="1" spans="2:10">
      <c r="C89" s="298"/>
      <c r="D89" s="299">
        <v>2025</v>
      </c>
      <c r="E89" s="299">
        <v>2026</v>
      </c>
      <c r="G89" s="300"/>
      <c r="H89" s="297"/>
      <c r="I89" s="297"/>
    </row>
    <row r="90" ht="31.5" customHeight="1" spans="2:10">
      <c r="C90" s="301" t="s">
        <v>15</v>
      </c>
      <c r="D90" s="302">
        <v>1814</v>
      </c>
      <c r="E90" s="302">
        <v>1947</v>
      </c>
      <c r="G90" s="303"/>
      <c r="H90" s="304"/>
      <c r="I90" s="304"/>
    </row>
    <row r="91" ht="23.25" customHeight="1" spans="2:10">
      <c r="C91" s="305" t="s">
        <v>183</v>
      </c>
      <c r="D91" s="306">
        <v>937</v>
      </c>
      <c r="E91" s="306">
        <f>E90-E92</f>
        <v>1013</v>
      </c>
      <c r="G91" s="307">
        <f>(D91/D90)</f>
        <v>0.516538037486218</v>
      </c>
      <c r="H91" s="307">
        <f>(E91/E90)</f>
        <v>0.520287621982537</v>
      </c>
      <c r="I91" s="308"/>
    </row>
    <row r="92" ht="23.25" customHeight="1" spans="2:10">
      <c r="C92" s="305" t="s">
        <v>184</v>
      </c>
      <c r="D92" s="309">
        <v>877</v>
      </c>
      <c r="E92" s="309">
        <v>934</v>
      </c>
      <c r="G92" s="307">
        <f>(D92/D90)</f>
        <v>0.483461962513782</v>
      </c>
      <c r="H92" s="307">
        <f>(E92/E90)</f>
        <v>0.479712378017463</v>
      </c>
      <c r="I92" s="308"/>
    </row>
    <row r="93" ht="15.75"/>
    <row r="94" ht="23.25" customHeight="1" spans="2:10">
      <c r="C94" s="294" t="s">
        <v>151</v>
      </c>
      <c r="D94" s="295"/>
      <c r="E94" s="296"/>
    </row>
    <row r="95" ht="23.25" customHeight="1" spans="2:10">
      <c r="C95" s="298"/>
      <c r="D95" s="299">
        <v>2025</v>
      </c>
      <c r="E95" s="299">
        <v>2026</v>
      </c>
    </row>
    <row r="96" ht="21" spans="2:10">
      <c r="C96" s="301" t="s">
        <v>15</v>
      </c>
      <c r="D96" s="302">
        <v>1549</v>
      </c>
      <c r="E96" s="302">
        <v>1624</v>
      </c>
    </row>
    <row r="97" ht="21" spans="3:8">
      <c r="C97" s="305" t="s">
        <v>183</v>
      </c>
      <c r="D97" s="306">
        <v>786</v>
      </c>
      <c r="E97" s="306">
        <f>E96-E98</f>
        <v>835</v>
      </c>
      <c r="G97" s="310">
        <f>D97/D96</f>
        <v>0.507424144609425</v>
      </c>
      <c r="H97" s="310">
        <f>E97/E96</f>
        <v>0.514162561576355</v>
      </c>
    </row>
    <row r="98" ht="21" spans="3:8">
      <c r="C98" s="305" t="s">
        <v>184</v>
      </c>
      <c r="D98" s="309">
        <v>763</v>
      </c>
      <c r="E98" s="309">
        <v>789</v>
      </c>
      <c r="G98" s="310">
        <f>D98/D96</f>
        <v>0.492575855390575</v>
      </c>
      <c r="H98" s="310">
        <f>E98/E96</f>
        <v>0.485837438423645</v>
      </c>
    </row>
    <row r="99" ht="15.75"/>
    <row r="100" ht="28.5" customHeight="1" spans="3:8">
      <c r="C100" s="294" t="s">
        <v>152</v>
      </c>
      <c r="D100" s="295"/>
      <c r="E100" s="296"/>
    </row>
    <row r="101" ht="21" spans="3:8">
      <c r="C101" s="298"/>
      <c r="D101" s="299">
        <v>2025</v>
      </c>
      <c r="E101" s="299">
        <v>2026</v>
      </c>
    </row>
    <row r="102" ht="21" spans="3:8">
      <c r="C102" s="301" t="s">
        <v>15</v>
      </c>
      <c r="D102" s="302">
        <v>1727</v>
      </c>
      <c r="E102" s="302">
        <v>1888</v>
      </c>
    </row>
    <row r="103" ht="21" spans="3:8">
      <c r="C103" s="305" t="s">
        <v>183</v>
      </c>
      <c r="D103" s="306">
        <f>D102-D104</f>
        <v>891</v>
      </c>
      <c r="E103" s="306">
        <f>E102-E104</f>
        <v>974</v>
      </c>
      <c r="G103" s="310">
        <f>D103/D102</f>
        <v>0.515923566878981</v>
      </c>
      <c r="H103" s="310">
        <f>E103/E102</f>
        <v>0.515889830508475</v>
      </c>
    </row>
    <row r="104" ht="21" spans="3:8">
      <c r="C104" s="305" t="s">
        <v>184</v>
      </c>
      <c r="D104" s="309">
        <v>836</v>
      </c>
      <c r="E104" s="309">
        <v>914</v>
      </c>
      <c r="G104" s="310">
        <f>D104/D102</f>
        <v>0.484076433121019</v>
      </c>
      <c r="H104" s="310">
        <f>E104/E102</f>
        <v>0.484110169491525</v>
      </c>
    </row>
    <row r="105" ht="15.75"/>
    <row r="106" ht="27" customHeight="1" spans="3:8">
      <c r="C106" s="294" t="s">
        <v>153</v>
      </c>
      <c r="D106" s="295"/>
      <c r="E106" s="296"/>
    </row>
    <row r="107" ht="21" spans="3:8">
      <c r="C107" s="298"/>
      <c r="D107" s="299">
        <v>2025</v>
      </c>
      <c r="E107" s="299">
        <v>2026</v>
      </c>
    </row>
    <row r="108" ht="21" spans="3:8">
      <c r="C108" s="301" t="s">
        <v>15</v>
      </c>
      <c r="D108" s="302">
        <f>1484</f>
        <v>1484</v>
      </c>
      <c r="E108" s="302">
        <v>1751</v>
      </c>
    </row>
    <row r="109" ht="21" spans="3:8">
      <c r="C109" s="305" t="s">
        <v>183</v>
      </c>
      <c r="D109" s="306">
        <f>D108-D110</f>
        <v>775</v>
      </c>
      <c r="E109" s="306">
        <f>E108-E110</f>
        <v>926</v>
      </c>
      <c r="G109" s="310">
        <f>D109/D108</f>
        <v>0.522237196765499</v>
      </c>
      <c r="H109" s="310">
        <f>E109/E108</f>
        <v>0.528840662478584</v>
      </c>
    </row>
    <row r="110" ht="21" spans="3:8">
      <c r="C110" s="305" t="s">
        <v>184</v>
      </c>
      <c r="D110" s="306">
        <v>709</v>
      </c>
      <c r="E110" s="306">
        <v>825</v>
      </c>
      <c r="G110" s="310">
        <f>D110/D108</f>
        <v>0.477762803234501</v>
      </c>
      <c r="H110" s="310">
        <f>E110/E108</f>
        <v>0.471159337521416</v>
      </c>
    </row>
    <row r="111" ht="15.75"/>
    <row r="112" ht="38.25" customHeight="1" spans="3:8">
      <c r="C112" s="294" t="s">
        <v>154</v>
      </c>
      <c r="D112" s="295"/>
      <c r="E112" s="296"/>
    </row>
    <row r="113" ht="30" customHeight="1" spans="3:12">
      <c r="C113" s="298"/>
      <c r="D113" s="299">
        <v>2025</v>
      </c>
      <c r="E113" s="299">
        <v>2026</v>
      </c>
    </row>
    <row r="114" ht="28.5" customHeight="1" spans="3:12">
      <c r="C114" s="301" t="s">
        <v>15</v>
      </c>
      <c r="D114" s="302">
        <f>D115+D116</f>
        <v>1765</v>
      </c>
      <c r="E114" s="302">
        <v>1808</v>
      </c>
    </row>
    <row r="115" ht="28.5" customHeight="1" spans="3:12">
      <c r="C115" s="305" t="s">
        <v>183</v>
      </c>
      <c r="D115" s="306">
        <v>1103</v>
      </c>
      <c r="E115" s="306">
        <f>E114-E116</f>
        <v>976</v>
      </c>
      <c r="G115" s="310">
        <f>D115/D114</f>
        <v>0.624929178470255</v>
      </c>
      <c r="H115" s="310">
        <f>E115/E114</f>
        <v>0.539823008849557</v>
      </c>
    </row>
    <row r="116" ht="26.25" customHeight="1" spans="3:12">
      <c r="C116" s="305" t="s">
        <v>184</v>
      </c>
      <c r="D116" s="306">
        <v>662</v>
      </c>
      <c r="E116" s="306">
        <v>832</v>
      </c>
      <c r="G116" s="310">
        <f>D116/D114</f>
        <v>0.375070821529745</v>
      </c>
      <c r="H116" s="310">
        <f>E116/E114</f>
        <v>0.460176991150442</v>
      </c>
    </row>
    <row r="117" ht="15.75"/>
    <row r="118" ht="36" customHeight="1" spans="3:12">
      <c r="C118" s="294" t="s">
        <v>155</v>
      </c>
      <c r="D118" s="295"/>
      <c r="E118" s="296"/>
    </row>
    <row r="119" ht="21" spans="3:12">
      <c r="C119" s="298"/>
      <c r="D119" s="299">
        <v>2025</v>
      </c>
      <c r="E119" s="299">
        <v>2026</v>
      </c>
    </row>
    <row r="120" ht="21" spans="3:12">
      <c r="C120" s="301" t="s">
        <v>15</v>
      </c>
      <c r="D120" s="302">
        <v>1542</v>
      </c>
      <c r="E120" s="302">
        <v>1869</v>
      </c>
    </row>
    <row r="121" ht="21" spans="3:12">
      <c r="C121" s="305" t="s">
        <v>183</v>
      </c>
      <c r="D121" s="306">
        <f>D120-D122</f>
        <v>813</v>
      </c>
      <c r="E121" s="306">
        <f>E120-E122</f>
        <v>988</v>
      </c>
      <c r="G121" s="310">
        <f>D121/D120</f>
        <v>0.527237354085603</v>
      </c>
      <c r="H121" s="310">
        <f>E121/E120</f>
        <v>0.528624933119315</v>
      </c>
    </row>
    <row r="122" ht="21" spans="3:12">
      <c r="C122" s="305" t="s">
        <v>184</v>
      </c>
      <c r="D122" s="306">
        <v>729</v>
      </c>
      <c r="E122" s="306">
        <v>881</v>
      </c>
      <c r="G122" s="310">
        <f>D122/D120</f>
        <v>0.472762645914397</v>
      </c>
      <c r="H122" s="310">
        <f>E122/E120</f>
        <v>0.471375066880685</v>
      </c>
    </row>
    <row r="123" ht="15.75"/>
    <row r="124" ht="33.75" customHeight="1" spans="3:12">
      <c r="C124" s="294" t="s">
        <v>156</v>
      </c>
      <c r="D124" s="295"/>
      <c r="E124" s="296"/>
    </row>
    <row r="125" ht="21" spans="3:12">
      <c r="C125" s="298"/>
      <c r="D125" s="299">
        <v>2025</v>
      </c>
      <c r="E125" s="299">
        <v>2026</v>
      </c>
    </row>
    <row r="126" ht="29.25" customHeight="1" spans="3:12">
      <c r="C126" s="301" t="s">
        <v>15</v>
      </c>
      <c r="D126" s="302">
        <v>1595</v>
      </c>
      <c r="E126" s="302">
        <v>1946</v>
      </c>
    </row>
    <row r="127" ht="23.25" customHeight="1" spans="3:12">
      <c r="C127" s="305" t="s">
        <v>183</v>
      </c>
      <c r="D127" s="306">
        <v>833</v>
      </c>
      <c r="E127" s="306">
        <f>E126-925</f>
        <v>1021</v>
      </c>
      <c r="G127" s="310">
        <f>D127/D126</f>
        <v>0.522257053291536</v>
      </c>
      <c r="H127" s="310">
        <f>E127/E126</f>
        <v>0.524665981500514</v>
      </c>
      <c r="L127" s="233"/>
    </row>
    <row r="128" ht="23.25" customHeight="1" spans="3:12">
      <c r="C128" s="305" t="s">
        <v>184</v>
      </c>
      <c r="D128" s="306">
        <v>762</v>
      </c>
      <c r="E128" s="306">
        <v>925</v>
      </c>
      <c r="G128" s="310">
        <f>D128/D126</f>
        <v>0.477742946708464</v>
      </c>
      <c r="H128" s="310">
        <f>E128/E126</f>
        <v>0.475334018499486</v>
      </c>
    </row>
    <row r="129" ht="15.75"/>
    <row r="130" ht="21" spans="3:12">
      <c r="C130" s="294" t="s">
        <v>157</v>
      </c>
      <c r="D130" s="295"/>
      <c r="E130" s="296"/>
    </row>
    <row r="131" ht="21" spans="3:12">
      <c r="C131" s="298"/>
      <c r="D131" s="299">
        <v>2025</v>
      </c>
      <c r="E131" s="299">
        <v>2026</v>
      </c>
    </row>
    <row r="132" ht="21" spans="3:12">
      <c r="C132" s="301" t="s">
        <v>15</v>
      </c>
      <c r="D132" s="302">
        <v>1612</v>
      </c>
      <c r="E132" s="302">
        <v>749</v>
      </c>
    </row>
    <row r="133" ht="21" spans="3:12">
      <c r="C133" s="305" t="s">
        <v>183</v>
      </c>
      <c r="D133" s="306">
        <v>805</v>
      </c>
      <c r="E133" s="306">
        <v>357</v>
      </c>
      <c r="G133" s="310">
        <f>D133/D132</f>
        <v>0.499379652605459</v>
      </c>
      <c r="H133" s="310">
        <f>E133/E132</f>
        <v>0.476635514018692</v>
      </c>
    </row>
    <row r="134" ht="21" spans="3:12">
      <c r="C134" s="305" t="s">
        <v>184</v>
      </c>
      <c r="D134" s="306">
        <v>807</v>
      </c>
      <c r="E134" s="306">
        <f>E132-E133</f>
        <v>392</v>
      </c>
      <c r="G134" s="310">
        <f>D134/D132</f>
        <v>0.500620347394541</v>
      </c>
      <c r="H134" s="310">
        <f>E134/E132</f>
        <v>0.523364485981308</v>
      </c>
    </row>
    <row r="135" ht="15.75"/>
    <row r="136" ht="21" spans="3:12">
      <c r="C136" s="294" t="s">
        <v>158</v>
      </c>
      <c r="D136" s="295"/>
      <c r="E136" s="296"/>
    </row>
    <row r="137" ht="21" spans="3:12">
      <c r="C137" s="298"/>
      <c r="D137" s="299">
        <v>2025</v>
      </c>
      <c r="E137" s="299">
        <v>2026</v>
      </c>
    </row>
    <row r="138" ht="21" spans="3:12">
      <c r="C138" s="301" t="s">
        <v>15</v>
      </c>
      <c r="D138" s="302"/>
      <c r="E138" s="302"/>
      <c r="L138" s="233"/>
    </row>
    <row r="139" ht="21" spans="3:12">
      <c r="C139" s="305" t="s">
        <v>183</v>
      </c>
      <c r="D139" s="306"/>
      <c r="E139" s="306"/>
      <c r="G139" s="310" t="e">
        <f>D139/D138</f>
        <v>#DIV/0!</v>
      </c>
      <c r="H139" s="310" t="e">
        <f>E139/E138</f>
        <v>#DIV/0!</v>
      </c>
    </row>
    <row r="140" ht="21" spans="3:12">
      <c r="C140" s="305" t="s">
        <v>184</v>
      </c>
      <c r="D140" s="306"/>
      <c r="E140" s="306"/>
      <c r="G140" s="310" t="e">
        <f>D140/D138</f>
        <v>#DIV/0!</v>
      </c>
      <c r="H140" s="310" t="e">
        <f>E140/E138</f>
        <v>#DIV/0!</v>
      </c>
    </row>
    <row r="141" ht="15.75"/>
    <row r="142" ht="21" spans="3:12">
      <c r="C142" s="294" t="s">
        <v>159</v>
      </c>
      <c r="D142" s="295"/>
      <c r="E142" s="296"/>
    </row>
    <row r="143" ht="21" spans="3:12">
      <c r="C143" s="298"/>
      <c r="D143" s="299">
        <v>2025</v>
      </c>
      <c r="E143" s="299">
        <v>2026</v>
      </c>
    </row>
    <row r="144" ht="21" spans="3:12">
      <c r="C144" s="301" t="s">
        <v>15</v>
      </c>
      <c r="D144" s="302"/>
      <c r="E144" s="302"/>
    </row>
    <row r="145" ht="21" spans="3:8">
      <c r="C145" s="305" t="s">
        <v>183</v>
      </c>
      <c r="D145" s="306"/>
      <c r="E145" s="306"/>
      <c r="G145" s="310" t="e">
        <f>D145/D144</f>
        <v>#DIV/0!</v>
      </c>
      <c r="H145" s="310" t="e">
        <f>E145/E144</f>
        <v>#DIV/0!</v>
      </c>
    </row>
    <row r="146" ht="21" spans="3:8">
      <c r="C146" s="305" t="s">
        <v>184</v>
      </c>
      <c r="D146" s="306"/>
      <c r="E146" s="306"/>
      <c r="G146" s="310" t="e">
        <f>D146/D144</f>
        <v>#DIV/0!</v>
      </c>
      <c r="H146" s="310" t="e">
        <f>E146/E144</f>
        <v>#DIV/0!</v>
      </c>
    </row>
    <row r="147" ht="21" spans="3:8">
      <c r="C147" s="311"/>
      <c r="D147" s="312"/>
      <c r="E147" s="312"/>
      <c r="G147" s="310"/>
      <c r="H147" s="310"/>
    </row>
    <row r="148" ht="21" spans="3:8">
      <c r="C148" s="294" t="s">
        <v>160</v>
      </c>
      <c r="D148" s="295"/>
      <c r="E148" s="296"/>
    </row>
    <row r="149" ht="21" spans="3:8">
      <c r="C149" s="298"/>
      <c r="D149" s="299">
        <v>2025</v>
      </c>
      <c r="E149" s="299">
        <v>2026</v>
      </c>
    </row>
    <row r="150" ht="19.5" customHeight="1" spans="3:8">
      <c r="C150" s="301" t="s">
        <v>15</v>
      </c>
      <c r="D150" s="302"/>
      <c r="E150" s="302"/>
    </row>
    <row r="151" ht="21" spans="3:8">
      <c r="C151" s="305" t="s">
        <v>183</v>
      </c>
      <c r="D151" s="306"/>
      <c r="E151" s="306"/>
      <c r="G151" s="310" t="e">
        <f>D151/D150</f>
        <v>#DIV/0!</v>
      </c>
      <c r="H151" s="310" t="e">
        <f>E151/E150</f>
        <v>#DIV/0!</v>
      </c>
    </row>
    <row r="152" ht="21" spans="3:8">
      <c r="C152" s="305" t="s">
        <v>184</v>
      </c>
      <c r="D152" s="306"/>
      <c r="E152" s="306"/>
      <c r="G152" s="310" t="e">
        <f>D152/D150</f>
        <v>#DIV/0!</v>
      </c>
      <c r="H152" s="310" t="e">
        <f>E152/E150</f>
        <v>#DIV/0!</v>
      </c>
    </row>
    <row r="153" ht="15.75"/>
    <row r="154" ht="21" spans="3:8">
      <c r="C154" s="294" t="s">
        <v>161</v>
      </c>
      <c r="D154" s="295"/>
      <c r="E154" s="296"/>
    </row>
    <row r="155" ht="21" spans="3:8">
      <c r="C155" s="298"/>
      <c r="D155" s="299">
        <v>2025</v>
      </c>
      <c r="E155" s="299">
        <v>2026</v>
      </c>
    </row>
    <row r="156" ht="21" spans="3:8">
      <c r="C156" s="301" t="s">
        <v>15</v>
      </c>
      <c r="D156" s="302"/>
      <c r="E156" s="302"/>
    </row>
    <row r="157" ht="21" spans="3:8">
      <c r="C157" s="305" t="s">
        <v>183</v>
      </c>
      <c r="D157" s="306"/>
      <c r="E157" s="306"/>
      <c r="G157" s="310" t="e">
        <f>D157/D156</f>
        <v>#DIV/0!</v>
      </c>
      <c r="H157" s="310" t="e">
        <f>E157/E156</f>
        <v>#DIV/0!</v>
      </c>
    </row>
    <row r="158" ht="21" spans="3:8">
      <c r="C158" s="305" t="s">
        <v>184</v>
      </c>
      <c r="D158" s="306"/>
      <c r="E158" s="306"/>
      <c r="G158" s="310" t="e">
        <f>D158/D156</f>
        <v>#DIV/0!</v>
      </c>
      <c r="H158" s="310" t="e">
        <f>E158/E156</f>
        <v>#DIV/0!</v>
      </c>
    </row>
    <row r="160" ht="15.75"/>
    <row r="161" ht="15.75" spans="2:11">
      <c r="B161" s="199" t="s">
        <v>185</v>
      </c>
      <c r="C161" s="200"/>
      <c r="D161" s="200"/>
      <c r="E161" s="200"/>
      <c r="F161" s="200"/>
      <c r="G161" s="200"/>
      <c r="H161" s="200"/>
      <c r="I161" s="200"/>
      <c r="J161" s="200"/>
      <c r="K161" s="201"/>
    </row>
    <row r="162" ht="18" spans="2:11">
      <c r="B162" s="202" t="s">
        <v>163</v>
      </c>
      <c r="C162" s="203">
        <v>2025</v>
      </c>
      <c r="D162" s="204"/>
      <c r="E162" s="204"/>
      <c r="F162" s="205" t="s">
        <v>15</v>
      </c>
      <c r="G162" s="203">
        <v>2026</v>
      </c>
      <c r="H162" s="204"/>
      <c r="I162" s="204"/>
      <c r="J162" s="205" t="s">
        <v>15</v>
      </c>
      <c r="K162" s="206" t="s">
        <v>186</v>
      </c>
    </row>
    <row r="163" ht="24.75" spans="2:11">
      <c r="B163" s="209"/>
      <c r="C163" s="210" t="s">
        <v>165</v>
      </c>
      <c r="D163" s="211" t="s">
        <v>166</v>
      </c>
      <c r="E163" s="211" t="s">
        <v>167</v>
      </c>
      <c r="F163" s="212"/>
      <c r="G163" s="210" t="s">
        <v>165</v>
      </c>
      <c r="H163" s="211" t="s">
        <v>166</v>
      </c>
      <c r="I163" s="211" t="s">
        <v>167</v>
      </c>
      <c r="J163" s="212"/>
      <c r="K163" s="213"/>
    </row>
    <row r="164" spans="2:11">
      <c r="B164" s="215" t="s">
        <v>150</v>
      </c>
      <c r="C164" s="216">
        <v>30</v>
      </c>
      <c r="D164" s="217">
        <v>1814</v>
      </c>
      <c r="E164" s="217">
        <v>302</v>
      </c>
      <c r="F164" s="313">
        <f>SUM(C164:E164)</f>
        <v>2146</v>
      </c>
      <c r="G164" s="217">
        <v>34</v>
      </c>
      <c r="H164" s="217">
        <v>1947</v>
      </c>
      <c r="I164" s="217">
        <v>307</v>
      </c>
      <c r="J164" s="314">
        <f>G164+H164+I164</f>
        <v>2288</v>
      </c>
      <c r="K164" s="219">
        <f>(J164/F164)-1</f>
        <v>0.0661696178937559</v>
      </c>
    </row>
    <row r="165" spans="2:11">
      <c r="B165" s="215" t="s">
        <v>151</v>
      </c>
      <c r="C165" s="216">
        <v>24</v>
      </c>
      <c r="D165" s="217">
        <v>1549</v>
      </c>
      <c r="E165" s="217">
        <v>353</v>
      </c>
      <c r="F165" s="313">
        <f>SUM(C165:E165)</f>
        <v>1926</v>
      </c>
      <c r="G165" s="217">
        <v>16</v>
      </c>
      <c r="H165" s="217">
        <v>1624</v>
      </c>
      <c r="I165" s="217">
        <v>454</v>
      </c>
      <c r="J165" s="314">
        <f t="shared" ref="J165:J169" si="10">G165+H165+I165</f>
        <v>2094</v>
      </c>
      <c r="K165" s="219">
        <f t="shared" ref="K165:K175" si="11">(J165/F165)-1</f>
        <v>0.0872274143302181</v>
      </c>
    </row>
    <row r="166" spans="2:11">
      <c r="B166" s="215" t="s">
        <v>152</v>
      </c>
      <c r="C166" s="216">
        <v>34</v>
      </c>
      <c r="D166" s="217">
        <v>1727</v>
      </c>
      <c r="E166" s="217">
        <v>387</v>
      </c>
      <c r="F166" s="313">
        <f>SUM(C166:E166)</f>
        <v>2148</v>
      </c>
      <c r="G166" s="217">
        <v>8</v>
      </c>
      <c r="H166" s="217">
        <v>1888</v>
      </c>
      <c r="I166" s="217">
        <v>447</v>
      </c>
      <c r="J166" s="314">
        <f t="shared" si="10"/>
        <v>2343</v>
      </c>
      <c r="K166" s="219">
        <f t="shared" si="11"/>
        <v>0.0907821229050279</v>
      </c>
    </row>
    <row r="167" spans="2:11">
      <c r="B167" s="222" t="s">
        <v>153</v>
      </c>
      <c r="C167" s="217">
        <v>38</v>
      </c>
      <c r="D167" s="217">
        <v>1484</v>
      </c>
      <c r="E167" s="217">
        <v>299</v>
      </c>
      <c r="F167" s="313">
        <v>1821</v>
      </c>
      <c r="G167" s="217">
        <v>10</v>
      </c>
      <c r="H167" s="217">
        <v>1751</v>
      </c>
      <c r="I167" s="217">
        <v>452</v>
      </c>
      <c r="J167" s="314">
        <f t="shared" si="10"/>
        <v>2213</v>
      </c>
      <c r="K167" s="219">
        <f t="shared" si="11"/>
        <v>0.215266337177375</v>
      </c>
    </row>
    <row r="168" spans="2:11">
      <c r="B168" s="223" t="s">
        <v>154</v>
      </c>
      <c r="C168" s="217">
        <v>20</v>
      </c>
      <c r="D168" s="217">
        <v>1410</v>
      </c>
      <c r="E168" s="217">
        <v>335</v>
      </c>
      <c r="F168" s="313">
        <v>1765</v>
      </c>
      <c r="G168" s="217">
        <v>67</v>
      </c>
      <c r="H168" s="217">
        <v>1808</v>
      </c>
      <c r="I168" s="217">
        <v>414</v>
      </c>
      <c r="J168" s="314">
        <f t="shared" si="10"/>
        <v>2289</v>
      </c>
      <c r="K168" s="219">
        <f t="shared" si="11"/>
        <v>0.296883852691218</v>
      </c>
    </row>
    <row r="169" spans="2:11">
      <c r="B169" s="223" t="s">
        <v>155</v>
      </c>
      <c r="C169" s="217">
        <v>28</v>
      </c>
      <c r="D169" s="217">
        <v>1542</v>
      </c>
      <c r="E169" s="217">
        <v>304</v>
      </c>
      <c r="F169" s="313">
        <v>1874</v>
      </c>
      <c r="G169" s="217">
        <v>56</v>
      </c>
      <c r="H169" s="217">
        <v>1869</v>
      </c>
      <c r="I169" s="217">
        <v>378</v>
      </c>
      <c r="J169" s="314">
        <f t="shared" si="10"/>
        <v>2303</v>
      </c>
      <c r="K169" s="219">
        <f t="shared" si="11"/>
        <v>0.228922091782284</v>
      </c>
    </row>
    <row r="170" spans="2:11">
      <c r="B170" s="223" t="s">
        <v>156</v>
      </c>
      <c r="C170" s="224">
        <v>42</v>
      </c>
      <c r="D170" s="217">
        <v>1595</v>
      </c>
      <c r="E170" s="224">
        <v>367</v>
      </c>
      <c r="F170" s="315">
        <v>2004</v>
      </c>
      <c r="G170" s="224">
        <v>186</v>
      </c>
      <c r="H170" s="224">
        <v>749</v>
      </c>
      <c r="I170" s="224">
        <v>385</v>
      </c>
      <c r="J170" s="314">
        <f t="shared" ref="J170:J175" si="12">G170+H170+I170</f>
        <v>1320</v>
      </c>
      <c r="K170" s="219">
        <f t="shared" si="11"/>
        <v>-0.341317365269461</v>
      </c>
    </row>
    <row r="171" spans="2:11">
      <c r="B171" s="223" t="s">
        <v>157</v>
      </c>
      <c r="C171" s="217">
        <v>84</v>
      </c>
      <c r="D171" s="217">
        <v>1612</v>
      </c>
      <c r="E171" s="217">
        <v>419</v>
      </c>
      <c r="F171" s="313">
        <f>C171+D171+E171</f>
        <v>2115</v>
      </c>
      <c r="G171" s="217"/>
      <c r="H171" s="217"/>
      <c r="I171" s="217"/>
      <c r="J171" s="314">
        <f t="shared" si="12"/>
        <v>0</v>
      </c>
      <c r="K171" s="219">
        <f t="shared" si="11"/>
        <v>-1</v>
      </c>
    </row>
    <row r="172" spans="2:11">
      <c r="B172" s="223" t="s">
        <v>158</v>
      </c>
      <c r="C172" s="217">
        <v>46</v>
      </c>
      <c r="D172" s="217">
        <v>1579</v>
      </c>
      <c r="E172" s="217">
        <v>387</v>
      </c>
      <c r="F172" s="313">
        <f>C172+D172+E172</f>
        <v>2012</v>
      </c>
      <c r="G172" s="217"/>
      <c r="H172" s="217"/>
      <c r="I172" s="217"/>
      <c r="J172" s="314">
        <f t="shared" si="12"/>
        <v>0</v>
      </c>
      <c r="K172" s="219">
        <f t="shared" si="11"/>
        <v>-1</v>
      </c>
    </row>
    <row r="173" spans="2:11">
      <c r="B173" s="223" t="s">
        <v>159</v>
      </c>
      <c r="C173" s="217">
        <v>36</v>
      </c>
      <c r="D173" s="217">
        <v>1709</v>
      </c>
      <c r="E173" s="217">
        <v>417</v>
      </c>
      <c r="F173" s="313">
        <f>C173+D173+E173</f>
        <v>2162</v>
      </c>
      <c r="G173" s="217"/>
      <c r="H173" s="217"/>
      <c r="I173" s="217"/>
      <c r="J173" s="314">
        <f t="shared" si="12"/>
        <v>0</v>
      </c>
      <c r="K173" s="219">
        <f t="shared" si="11"/>
        <v>-1</v>
      </c>
    </row>
    <row r="174" spans="2:11">
      <c r="B174" s="223" t="s">
        <v>160</v>
      </c>
      <c r="C174" s="217">
        <v>30</v>
      </c>
      <c r="D174" s="217">
        <v>1813</v>
      </c>
      <c r="E174" s="217">
        <v>379</v>
      </c>
      <c r="F174" s="313">
        <f>C174+D174+E174</f>
        <v>2222</v>
      </c>
      <c r="G174" s="217"/>
      <c r="H174" s="217"/>
      <c r="I174" s="217"/>
      <c r="J174" s="314">
        <f t="shared" si="12"/>
        <v>0</v>
      </c>
      <c r="K174" s="219">
        <f t="shared" si="11"/>
        <v>-1</v>
      </c>
    </row>
    <row r="175" ht="15.75" spans="2:11">
      <c r="B175" s="223" t="s">
        <v>161</v>
      </c>
      <c r="C175" s="217">
        <v>36</v>
      </c>
      <c r="D175" s="217">
        <v>1951</v>
      </c>
      <c r="E175" s="217">
        <v>297</v>
      </c>
      <c r="F175" s="313">
        <f>C175+D175+E175</f>
        <v>2284</v>
      </c>
      <c r="G175" s="217"/>
      <c r="H175" s="217"/>
      <c r="I175" s="217"/>
      <c r="J175" s="314">
        <f t="shared" si="12"/>
        <v>0</v>
      </c>
      <c r="K175" s="219">
        <f t="shared" si="11"/>
        <v>-1</v>
      </c>
    </row>
    <row r="176" ht="21" spans="2:11">
      <c r="B176" s="227" t="s">
        <v>15</v>
      </c>
      <c r="C176" s="228">
        <f t="shared" ref="C176:J176" si="13">SUM(C164:C175)</f>
        <v>448</v>
      </c>
      <c r="D176" s="229">
        <f t="shared" si="13"/>
        <v>19785</v>
      </c>
      <c r="E176" s="229">
        <f t="shared" si="13"/>
        <v>4246</v>
      </c>
      <c r="F176" s="230">
        <f t="shared" si="13"/>
        <v>24479</v>
      </c>
      <c r="G176" s="228">
        <f t="shared" si="13"/>
        <v>377</v>
      </c>
      <c r="H176" s="228">
        <f t="shared" si="13"/>
        <v>11636</v>
      </c>
      <c r="I176" s="228">
        <f t="shared" si="13"/>
        <v>2837</v>
      </c>
      <c r="J176" s="228">
        <f t="shared" si="13"/>
        <v>14850</v>
      </c>
      <c r="K176" s="231">
        <f>(J176/(F164+F165+F166+F167+F168+F169+F170))-1</f>
        <v>0.085209003215434</v>
      </c>
    </row>
  </sheetData>
  <mergeCells count="35">
    <mergeCell ref="B2:M2"/>
    <mergeCell ref="B32:K32"/>
    <mergeCell ref="C33:E33"/>
    <mergeCell ref="G33:I33"/>
    <mergeCell ref="M33:O33"/>
    <mergeCell ref="C49:F49"/>
    <mergeCell ref="G49:K49"/>
    <mergeCell ref="B60:J60"/>
    <mergeCell ref="B69:J69"/>
    <mergeCell ref="B74:J74"/>
    <mergeCell ref="B84:J84"/>
    <mergeCell ref="C88:E88"/>
    <mergeCell ref="C94:E94"/>
    <mergeCell ref="C100:E100"/>
    <mergeCell ref="C106:E106"/>
    <mergeCell ref="C112:E112"/>
    <mergeCell ref="C118:E118"/>
    <mergeCell ref="C124:E124"/>
    <mergeCell ref="C130:E130"/>
    <mergeCell ref="C136:E136"/>
    <mergeCell ref="C142:E142"/>
    <mergeCell ref="C148:E148"/>
    <mergeCell ref="C154:E154"/>
    <mergeCell ref="B161:K161"/>
    <mergeCell ref="C162:E162"/>
    <mergeCell ref="G162:I162"/>
    <mergeCell ref="B33:B34"/>
    <mergeCell ref="B162:B163"/>
    <mergeCell ref="F33:F34"/>
    <mergeCell ref="F162:F163"/>
    <mergeCell ref="J33:J34"/>
    <mergeCell ref="J162:J163"/>
    <mergeCell ref="K33:K34"/>
    <mergeCell ref="K162:K163"/>
    <mergeCell ref="P33:P34"/>
  </mergeCells>
  <pageMargins left="0.7" right="0.7" top="0.75" bottom="0.75" header="0.3" footer="0.3"/>
  <pageSetup paperSize="1" scale="52" orientation="portrait"/>
  <headerFooter/>
  <colBreaks count="1" manualBreakCount="1">
    <brk id="11" max="177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67"/>
  <sheetViews>
    <sheetView workbookViewId="0">
      <selection activeCell="C1" sqref="C1"/>
    </sheetView>
  </sheetViews>
  <sheetFormatPr defaultColWidth="11.4285714285714" defaultRowHeight="15"/>
  <cols>
    <col min="2" max="2" width="19.8571428571429" customWidth="1"/>
    <col min="3" max="3" width="18.7142857142857" customWidth="1"/>
    <col min="4" max="10" width="11.1428571428571" customWidth="1"/>
    <col min="11" max="14" width="13.2857142857143" customWidth="1"/>
    <col min="23" max="23" width="32.4285714285714" customWidth="1"/>
  </cols>
  <sheetData>
    <row r="1" ht="15.75"/>
    <row r="2" ht="23.25" customHeight="1" spans="2:3">
      <c r="B2" s="75" t="s">
        <v>187</v>
      </c>
      <c r="C2" s="76"/>
    </row>
    <row r="3" ht="18.75" customHeight="1" spans="2:3">
      <c r="B3" s="77" t="s">
        <v>1</v>
      </c>
      <c r="C3" s="78" t="s">
        <v>188</v>
      </c>
    </row>
    <row r="4" ht="18.75" customHeight="1" spans="2:3">
      <c r="B4" s="79" t="s">
        <v>5</v>
      </c>
      <c r="C4" s="80">
        <v>0</v>
      </c>
    </row>
    <row r="5" ht="18.75" customHeight="1" spans="2:3">
      <c r="B5" s="79" t="s">
        <v>189</v>
      </c>
      <c r="C5" s="80">
        <v>0</v>
      </c>
    </row>
    <row r="6" ht="18.75" customHeight="1" spans="2:3">
      <c r="B6" s="79" t="s">
        <v>190</v>
      </c>
      <c r="C6" s="80">
        <v>20386</v>
      </c>
    </row>
    <row r="7" ht="26.25" customHeight="1" spans="2:3">
      <c r="B7" s="81" t="s">
        <v>15</v>
      </c>
      <c r="C7" s="82">
        <f>SUM(C4:C6)</f>
        <v>20386</v>
      </c>
    </row>
    <row r="8" ht="15.75"/>
    <row r="9" ht="37.5" customHeight="1" spans="2:3">
      <c r="B9" s="83" t="s">
        <v>191</v>
      </c>
      <c r="C9" s="84"/>
    </row>
    <row r="10" spans="2:3">
      <c r="B10" s="77" t="s">
        <v>1</v>
      </c>
      <c r="C10" s="78" t="s">
        <v>188</v>
      </c>
    </row>
    <row r="11" spans="2:3">
      <c r="B11" s="79" t="s">
        <v>189</v>
      </c>
      <c r="C11" s="80">
        <v>0</v>
      </c>
    </row>
    <row r="12" spans="2:3">
      <c r="B12" s="79" t="s">
        <v>5</v>
      </c>
      <c r="C12" s="80">
        <f>7435+8512+10466+13305+7087+7944</f>
        <v>54749</v>
      </c>
    </row>
    <row r="13" spans="2:3">
      <c r="B13" s="79" t="s">
        <v>190</v>
      </c>
      <c r="C13" s="80">
        <f>62350+80852+66737+57122+79253+36805</f>
        <v>383119</v>
      </c>
    </row>
    <row r="14" ht="15.75" spans="2:3">
      <c r="B14" s="85" t="s">
        <v>192</v>
      </c>
      <c r="C14" s="82">
        <f>SUM(C11:C13)</f>
        <v>437868</v>
      </c>
    </row>
    <row r="16" ht="15.75"/>
    <row r="17" ht="33.75" customHeight="1" spans="2:14">
      <c r="B17" s="83" t="s">
        <v>193</v>
      </c>
      <c r="C17" s="84"/>
    </row>
    <row r="18" spans="2:14">
      <c r="B18" s="77" t="s">
        <v>1</v>
      </c>
      <c r="C18" s="78" t="s">
        <v>188</v>
      </c>
    </row>
    <row r="19" spans="2:14">
      <c r="B19" s="79" t="s">
        <v>189</v>
      </c>
      <c r="C19" s="80">
        <v>825</v>
      </c>
    </row>
    <row r="20" spans="2:14">
      <c r="B20" s="79" t="s">
        <v>5</v>
      </c>
      <c r="C20" s="80">
        <f>10334</f>
        <v>10334</v>
      </c>
    </row>
    <row r="21" spans="2:14">
      <c r="B21" s="79" t="s">
        <v>190</v>
      </c>
      <c r="C21" s="80">
        <f>61854+20386</f>
        <v>82240</v>
      </c>
    </row>
    <row r="22" ht="15.75" spans="2:14">
      <c r="B22" s="85" t="s">
        <v>15</v>
      </c>
      <c r="C22" s="82">
        <f>SUM(C19:C21)</f>
        <v>93399</v>
      </c>
    </row>
    <row r="23" ht="15.75"/>
    <row r="24" ht="15.75" spans="2:14">
      <c r="B24" s="86"/>
      <c r="C24" s="87" t="s">
        <v>194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2:14">
      <c r="B25" s="90"/>
      <c r="C25" s="91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3"/>
    </row>
    <row r="26" spans="2:14">
      <c r="B26" s="94" t="s">
        <v>195</v>
      </c>
      <c r="C26" s="95" t="s">
        <v>196</v>
      </c>
      <c r="D26" s="96" t="s">
        <v>197</v>
      </c>
      <c r="E26" s="96" t="s">
        <v>198</v>
      </c>
      <c r="F26" s="96" t="s">
        <v>199</v>
      </c>
      <c r="G26" s="96" t="s">
        <v>200</v>
      </c>
      <c r="H26" s="96" t="s">
        <v>201</v>
      </c>
      <c r="I26" s="96" t="s">
        <v>202</v>
      </c>
      <c r="J26" s="96" t="s">
        <v>203</v>
      </c>
      <c r="K26" s="96" t="s">
        <v>204</v>
      </c>
      <c r="L26" s="96" t="s">
        <v>205</v>
      </c>
      <c r="M26" s="96" t="s">
        <v>206</v>
      </c>
      <c r="N26" s="97" t="s">
        <v>207</v>
      </c>
    </row>
    <row r="27" spans="2:14">
      <c r="B27" s="98" t="s">
        <v>208</v>
      </c>
      <c r="C27" s="99">
        <v>7435</v>
      </c>
      <c r="D27" s="100">
        <v>8512</v>
      </c>
      <c r="E27" s="100">
        <v>10466</v>
      </c>
      <c r="F27" s="100">
        <v>13305</v>
      </c>
      <c r="G27" s="100">
        <v>7087</v>
      </c>
      <c r="H27" s="100">
        <f>(C27+D27+E27+F27+G28)/5</f>
        <v>7943.6</v>
      </c>
      <c r="I27" s="100">
        <v>10334</v>
      </c>
      <c r="J27" s="100">
        <v>0</v>
      </c>
      <c r="K27" s="100"/>
      <c r="L27" s="100"/>
      <c r="M27" s="100"/>
      <c r="N27" s="101"/>
    </row>
    <row r="28" spans="2:14">
      <c r="B28" s="102" t="s">
        <v>209</v>
      </c>
      <c r="C28" s="103">
        <f>SUM(C27:N27)</f>
        <v>65082.6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5"/>
    </row>
    <row r="29" ht="12.75" customHeight="1" spans="2:14">
      <c r="B29" s="106" t="s">
        <v>210</v>
      </c>
      <c r="C29" s="107"/>
      <c r="D29" s="107"/>
      <c r="E29" s="107"/>
      <c r="F29" s="107"/>
      <c r="G29" s="107"/>
      <c r="H29" s="107"/>
      <c r="I29" s="107"/>
      <c r="J29" s="108"/>
      <c r="K29" s="108"/>
      <c r="L29" s="108"/>
      <c r="M29" s="108"/>
      <c r="N29" s="109"/>
    </row>
    <row r="30" ht="15.75"/>
    <row r="31" ht="15.75" spans="2:14">
      <c r="B31" s="110"/>
      <c r="C31" s="111" t="s">
        <v>211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3"/>
    </row>
    <row r="32" spans="2:14">
      <c r="B32" s="114"/>
      <c r="C32" s="115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7"/>
    </row>
    <row r="33" spans="2:14">
      <c r="B33" s="118" t="s">
        <v>195</v>
      </c>
      <c r="C33" s="119" t="s">
        <v>196</v>
      </c>
      <c r="D33" s="120" t="s">
        <v>197</v>
      </c>
      <c r="E33" s="120" t="s">
        <v>198</v>
      </c>
      <c r="F33" s="120" t="s">
        <v>199</v>
      </c>
      <c r="G33" s="120" t="s">
        <v>200</v>
      </c>
      <c r="H33" s="120" t="s">
        <v>201</v>
      </c>
      <c r="I33" s="120" t="s">
        <v>202</v>
      </c>
      <c r="J33" s="120" t="s">
        <v>203</v>
      </c>
      <c r="K33" s="120" t="s">
        <v>204</v>
      </c>
      <c r="L33" s="120" t="s">
        <v>205</v>
      </c>
      <c r="M33" s="120" t="s">
        <v>206</v>
      </c>
      <c r="N33" s="121" t="s">
        <v>207</v>
      </c>
    </row>
    <row r="34" spans="2:14">
      <c r="B34" s="122" t="s">
        <v>208</v>
      </c>
      <c r="C34" s="123">
        <v>62350</v>
      </c>
      <c r="D34" s="124">
        <v>80852</v>
      </c>
      <c r="E34" s="124">
        <v>66737</v>
      </c>
      <c r="F34" s="124">
        <v>57122</v>
      </c>
      <c r="G34" s="124">
        <v>79253</v>
      </c>
      <c r="H34" s="124">
        <v>36805</v>
      </c>
      <c r="I34" s="124">
        <v>61854</v>
      </c>
      <c r="J34" s="124">
        <v>20386</v>
      </c>
      <c r="K34" s="124"/>
      <c r="L34" s="124"/>
      <c r="M34" s="124"/>
      <c r="N34" s="125"/>
    </row>
    <row r="35" spans="2:14">
      <c r="B35" s="126" t="s">
        <v>212</v>
      </c>
      <c r="C35" s="127">
        <f>SUM(C34:N34)</f>
        <v>465359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9"/>
    </row>
    <row r="36" ht="15.75" customHeight="1" spans="2:14">
      <c r="B36" s="130" t="s">
        <v>210</v>
      </c>
      <c r="C36" s="131"/>
      <c r="D36" s="131"/>
      <c r="E36" s="131"/>
      <c r="F36" s="131"/>
      <c r="G36" s="131"/>
      <c r="H36" s="131"/>
      <c r="I36" s="131"/>
      <c r="J36" s="132"/>
      <c r="K36" s="132"/>
      <c r="L36" s="132"/>
      <c r="M36" s="132"/>
      <c r="N36" s="133"/>
    </row>
    <row r="37" ht="15.75"/>
    <row r="38" ht="15.75" spans="2:14">
      <c r="B38" s="110"/>
      <c r="C38" s="134" t="s">
        <v>211</v>
      </c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6"/>
    </row>
    <row r="39" ht="19.5" customHeight="1" spans="2:14">
      <c r="B39" s="114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</row>
    <row r="40" spans="2:14">
      <c r="B40" s="139" t="s">
        <v>195</v>
      </c>
      <c r="C40" s="140" t="s">
        <v>196</v>
      </c>
      <c r="D40" s="140" t="s">
        <v>197</v>
      </c>
      <c r="E40" s="140" t="s">
        <v>198</v>
      </c>
      <c r="F40" s="140" t="s">
        <v>199</v>
      </c>
      <c r="G40" s="140" t="s">
        <v>200</v>
      </c>
      <c r="H40" s="140" t="s">
        <v>201</v>
      </c>
      <c r="I40" s="140" t="s">
        <v>202</v>
      </c>
      <c r="J40" s="140" t="s">
        <v>203</v>
      </c>
      <c r="K40" s="140" t="s">
        <v>204</v>
      </c>
      <c r="L40" s="140" t="s">
        <v>205</v>
      </c>
      <c r="M40" s="140" t="s">
        <v>206</v>
      </c>
      <c r="N40" s="141" t="s">
        <v>207</v>
      </c>
    </row>
    <row r="41" spans="2:14">
      <c r="B41" s="142" t="s">
        <v>208</v>
      </c>
      <c r="C41" s="124">
        <v>0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24">
        <v>0</v>
      </c>
      <c r="J41" s="124">
        <v>0</v>
      </c>
      <c r="K41" s="124"/>
      <c r="L41" s="124"/>
      <c r="M41" s="124"/>
      <c r="N41" s="125"/>
    </row>
    <row r="42" spans="2:14">
      <c r="B42" s="143" t="s">
        <v>209</v>
      </c>
      <c r="C42" s="144">
        <f>+C41</f>
        <v>0</v>
      </c>
      <c r="D42" s="128"/>
      <c r="E42" s="128"/>
      <c r="F42" s="128"/>
      <c r="G42" s="128"/>
      <c r="H42" s="128"/>
      <c r="I42" s="128"/>
      <c r="J42" s="128"/>
      <c r="K42" s="128"/>
      <c r="L42" s="145"/>
      <c r="M42" s="145"/>
      <c r="N42" s="146"/>
    </row>
    <row r="43" ht="14.25" customHeight="1" spans="2:14">
      <c r="B43" s="106" t="s">
        <v>210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47"/>
    </row>
    <row r="44" ht="14.25" customHeight="1" spans="2:14"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</row>
    <row r="45" ht="14.25" customHeight="1" spans="2:14">
      <c r="B45" s="149" t="s">
        <v>189</v>
      </c>
      <c r="C45" s="134" t="s">
        <v>211</v>
      </c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6"/>
    </row>
    <row r="46" ht="14.25" customHeight="1" spans="2:14">
      <c r="B46" s="150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8"/>
    </row>
    <row r="47" ht="14.25" customHeight="1" spans="2:14">
      <c r="B47" s="139" t="s">
        <v>195</v>
      </c>
      <c r="C47" s="140" t="s">
        <v>196</v>
      </c>
      <c r="D47" s="140" t="s">
        <v>197</v>
      </c>
      <c r="E47" s="140" t="s">
        <v>198</v>
      </c>
      <c r="F47" s="140" t="s">
        <v>199</v>
      </c>
      <c r="G47" s="140" t="s">
        <v>200</v>
      </c>
      <c r="H47" s="140" t="s">
        <v>201</v>
      </c>
      <c r="I47" s="140" t="s">
        <v>202</v>
      </c>
      <c r="J47" s="140" t="s">
        <v>203</v>
      </c>
      <c r="K47" s="140" t="s">
        <v>204</v>
      </c>
      <c r="L47" s="140" t="s">
        <v>205</v>
      </c>
      <c r="M47" s="140" t="s">
        <v>206</v>
      </c>
      <c r="N47" s="141" t="s">
        <v>207</v>
      </c>
    </row>
    <row r="48" ht="14.25" customHeight="1" spans="2:14">
      <c r="B48" s="142" t="s">
        <v>208</v>
      </c>
      <c r="C48" s="124">
        <v>0</v>
      </c>
      <c r="D48" s="124">
        <v>0</v>
      </c>
      <c r="E48" s="124">
        <v>0</v>
      </c>
      <c r="F48" s="124">
        <v>0</v>
      </c>
      <c r="G48" s="124">
        <v>0</v>
      </c>
      <c r="H48" s="124">
        <v>0</v>
      </c>
      <c r="I48" s="124">
        <v>825</v>
      </c>
      <c r="J48" s="124">
        <v>0</v>
      </c>
      <c r="K48" s="124"/>
      <c r="L48" s="124"/>
      <c r="M48" s="124"/>
      <c r="N48" s="125"/>
    </row>
    <row r="49" ht="14.25" customHeight="1" spans="2:15">
      <c r="B49" s="143" t="s">
        <v>209</v>
      </c>
      <c r="C49" s="144">
        <f>+I48</f>
        <v>825</v>
      </c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9"/>
    </row>
    <row r="50" ht="15.75" spans="2:15">
      <c r="B50" s="106" t="s">
        <v>210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47"/>
    </row>
    <row r="53" spans="2:15">
      <c r="B53" s="151" t="s">
        <v>213</v>
      </c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3"/>
      <c r="O53" s="154"/>
    </row>
    <row r="54" spans="2:15">
      <c r="B54" s="155" t="s">
        <v>195</v>
      </c>
      <c r="C54" s="156" t="s">
        <v>196</v>
      </c>
      <c r="D54" s="156" t="s">
        <v>197</v>
      </c>
      <c r="E54" s="156" t="s">
        <v>198</v>
      </c>
      <c r="F54" s="156" t="s">
        <v>199</v>
      </c>
      <c r="G54" s="156" t="s">
        <v>200</v>
      </c>
      <c r="H54" s="156" t="s">
        <v>201</v>
      </c>
      <c r="I54" s="156" t="s">
        <v>202</v>
      </c>
      <c r="J54" s="156" t="s">
        <v>203</v>
      </c>
      <c r="K54" s="156" t="s">
        <v>204</v>
      </c>
      <c r="L54" s="156" t="s">
        <v>205</v>
      </c>
      <c r="M54" s="156" t="s">
        <v>206</v>
      </c>
      <c r="N54" s="156" t="s">
        <v>207</v>
      </c>
      <c r="O54" s="157" t="s">
        <v>208</v>
      </c>
    </row>
    <row r="55" spans="2:15">
      <c r="B55" s="158" t="s">
        <v>190</v>
      </c>
      <c r="C55" s="100">
        <v>62350</v>
      </c>
      <c r="D55" s="100">
        <v>80852</v>
      </c>
      <c r="E55" s="100">
        <v>66737</v>
      </c>
      <c r="F55" s="100">
        <v>57122</v>
      </c>
      <c r="G55" s="100">
        <v>79253</v>
      </c>
      <c r="H55" s="100">
        <v>36805</v>
      </c>
      <c r="I55" s="100">
        <v>61854</v>
      </c>
      <c r="J55" s="100">
        <v>20386</v>
      </c>
      <c r="K55" s="100"/>
      <c r="L55" s="100"/>
      <c r="M55" s="100"/>
      <c r="N55" s="100"/>
      <c r="O55" s="159">
        <f>SUM(C55:N55)</f>
        <v>465359</v>
      </c>
    </row>
    <row r="56" spans="2:15">
      <c r="B56" s="158" t="s">
        <v>5</v>
      </c>
      <c r="C56" s="100">
        <v>7435</v>
      </c>
      <c r="D56" s="100">
        <v>8512</v>
      </c>
      <c r="E56" s="100">
        <v>10466</v>
      </c>
      <c r="F56" s="100">
        <v>13305</v>
      </c>
      <c r="G56" s="100">
        <v>7087</v>
      </c>
      <c r="H56" s="100">
        <v>7944</v>
      </c>
      <c r="I56" s="100">
        <v>10334</v>
      </c>
      <c r="J56" s="100">
        <v>0</v>
      </c>
      <c r="K56" s="100"/>
      <c r="L56" s="100"/>
      <c r="M56" s="100"/>
      <c r="N56" s="100"/>
      <c r="O56" s="159">
        <f>SUM(C56:N56)</f>
        <v>65083</v>
      </c>
    </row>
    <row r="57" spans="2:15">
      <c r="B57" s="158" t="s">
        <v>10</v>
      </c>
      <c r="C57" s="100">
        <v>0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/>
      <c r="L57" s="100"/>
      <c r="M57" s="100"/>
      <c r="N57" s="100"/>
      <c r="O57" s="159">
        <f t="shared" ref="O57:O59" si="0">SUM(C57:N57)</f>
        <v>0</v>
      </c>
    </row>
    <row r="58" spans="2:15">
      <c r="B58" s="158" t="s">
        <v>189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>
        <v>825</v>
      </c>
      <c r="J58" s="100">
        <v>0</v>
      </c>
      <c r="K58" s="100"/>
      <c r="L58" s="100"/>
      <c r="M58" s="100"/>
      <c r="N58" s="100"/>
      <c r="O58" s="159">
        <f t="shared" si="0"/>
        <v>825</v>
      </c>
    </row>
    <row r="59" ht="18" spans="2:15">
      <c r="B59" s="160" t="s">
        <v>192</v>
      </c>
      <c r="C59" s="161">
        <f t="shared" ref="C59:J59" si="1">SUM(C55:C58)</f>
        <v>69785</v>
      </c>
      <c r="D59" s="161">
        <f t="shared" si="1"/>
        <v>89364</v>
      </c>
      <c r="E59" s="161">
        <f t="shared" si="1"/>
        <v>77203</v>
      </c>
      <c r="F59" s="161">
        <f t="shared" si="1"/>
        <v>70427</v>
      </c>
      <c r="G59" s="161">
        <f t="shared" si="1"/>
        <v>86340</v>
      </c>
      <c r="H59" s="161">
        <f t="shared" si="1"/>
        <v>44749</v>
      </c>
      <c r="I59" s="161">
        <f t="shared" si="1"/>
        <v>73013</v>
      </c>
      <c r="J59" s="161">
        <f t="shared" si="1"/>
        <v>20386</v>
      </c>
      <c r="K59" s="161">
        <f t="shared" ref="K59:N59" si="2">SUM(K55:K57)</f>
        <v>0</v>
      </c>
      <c r="L59" s="161">
        <f t="shared" si="2"/>
        <v>0</v>
      </c>
      <c r="M59" s="161">
        <f t="shared" si="2"/>
        <v>0</v>
      </c>
      <c r="N59" s="161">
        <f t="shared" si="2"/>
        <v>0</v>
      </c>
      <c r="O59" s="159">
        <f t="shared" si="0"/>
        <v>531267</v>
      </c>
    </row>
    <row r="60" ht="18" spans="2:15">
      <c r="B60" s="162" t="s">
        <v>209</v>
      </c>
      <c r="C60" s="163">
        <f>SUM(C59:N59)</f>
        <v>531267</v>
      </c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5"/>
      <c r="O60" s="166"/>
    </row>
    <row r="61" ht="17.25" customHeight="1" spans="2:15">
      <c r="B61" s="167" t="s">
        <v>214</v>
      </c>
      <c r="C61" s="168">
        <f>C59-C65</f>
        <v>-17985</v>
      </c>
      <c r="D61" s="168">
        <f t="shared" ref="D61:I61" si="3">D59-C59</f>
        <v>19579</v>
      </c>
      <c r="E61" s="168">
        <f t="shared" si="3"/>
        <v>-12161</v>
      </c>
      <c r="F61" s="168">
        <f t="shared" si="3"/>
        <v>-6776</v>
      </c>
      <c r="G61" s="168">
        <f t="shared" si="3"/>
        <v>15913</v>
      </c>
      <c r="H61" s="168">
        <f t="shared" si="3"/>
        <v>-41591</v>
      </c>
      <c r="I61" s="169">
        <f t="shared" si="3"/>
        <v>28264</v>
      </c>
      <c r="J61" s="169">
        <f>I59-J59</f>
        <v>52627</v>
      </c>
      <c r="K61" s="170"/>
      <c r="L61" s="170"/>
      <c r="M61" s="170"/>
      <c r="N61" s="170"/>
      <c r="O61" s="166"/>
    </row>
    <row r="62" ht="20.25" customHeight="1"/>
    <row r="63" spans="2:15">
      <c r="B63" s="171" t="s">
        <v>215</v>
      </c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3"/>
    </row>
    <row r="64" spans="2:15">
      <c r="B64" s="155" t="s">
        <v>195</v>
      </c>
      <c r="C64" s="156" t="s">
        <v>196</v>
      </c>
      <c r="D64" s="156" t="s">
        <v>197</v>
      </c>
      <c r="E64" s="156" t="s">
        <v>198</v>
      </c>
      <c r="F64" s="156" t="s">
        <v>199</v>
      </c>
      <c r="G64" s="156" t="s">
        <v>200</v>
      </c>
      <c r="H64" s="156" t="s">
        <v>201</v>
      </c>
      <c r="I64" s="156" t="s">
        <v>202</v>
      </c>
      <c r="J64" s="156" t="s">
        <v>203</v>
      </c>
      <c r="K64" s="156" t="s">
        <v>204</v>
      </c>
      <c r="L64" s="156" t="s">
        <v>205</v>
      </c>
      <c r="M64" s="156" t="s">
        <v>206</v>
      </c>
      <c r="N64" s="156" t="s">
        <v>207</v>
      </c>
    </row>
    <row r="65" spans="2:14">
      <c r="B65" s="158" t="s">
        <v>216</v>
      </c>
      <c r="C65" s="100">
        <v>87770</v>
      </c>
      <c r="D65" s="100">
        <v>76811</v>
      </c>
      <c r="E65" s="100">
        <v>66184</v>
      </c>
      <c r="F65" s="100">
        <v>67082</v>
      </c>
      <c r="G65" s="100">
        <v>66298</v>
      </c>
      <c r="H65" s="100">
        <v>69743</v>
      </c>
      <c r="I65" s="100">
        <v>56939</v>
      </c>
      <c r="J65" s="100">
        <v>67600</v>
      </c>
      <c r="K65" s="100">
        <v>65442</v>
      </c>
      <c r="L65" s="100">
        <v>67253</v>
      </c>
      <c r="M65" s="100">
        <v>82824</v>
      </c>
      <c r="N65" s="100">
        <v>74513</v>
      </c>
    </row>
    <row r="66" spans="2:14">
      <c r="B66" s="158" t="s">
        <v>217</v>
      </c>
      <c r="C66" s="100">
        <v>69785</v>
      </c>
      <c r="D66" s="100">
        <v>89364</v>
      </c>
      <c r="E66" s="100">
        <v>77203</v>
      </c>
      <c r="F66" s="100">
        <v>70427</v>
      </c>
      <c r="G66" s="100">
        <v>86340</v>
      </c>
      <c r="H66" s="100">
        <v>44749</v>
      </c>
      <c r="I66" s="100">
        <v>73013</v>
      </c>
      <c r="J66" s="100">
        <v>20386</v>
      </c>
      <c r="K66" s="100"/>
      <c r="L66" s="100"/>
      <c r="M66" s="100"/>
      <c r="N66" s="100"/>
    </row>
    <row r="67" spans="2:14">
      <c r="B67" s="174" t="s">
        <v>218</v>
      </c>
      <c r="C67" s="175">
        <f>C66-C65</f>
        <v>-17985</v>
      </c>
      <c r="D67" s="176">
        <f t="shared" ref="D67:J67" si="4">D66-D65</f>
        <v>12553</v>
      </c>
      <c r="E67" s="176">
        <f t="shared" si="4"/>
        <v>11019</v>
      </c>
      <c r="F67" s="176">
        <f t="shared" si="4"/>
        <v>3345</v>
      </c>
      <c r="G67" s="176">
        <f t="shared" si="4"/>
        <v>20042</v>
      </c>
      <c r="H67" s="176">
        <f t="shared" si="4"/>
        <v>-24994</v>
      </c>
      <c r="I67" s="176">
        <f t="shared" si="4"/>
        <v>16074</v>
      </c>
      <c r="J67" s="176">
        <f t="shared" si="4"/>
        <v>-47214</v>
      </c>
      <c r="K67" s="176"/>
      <c r="L67" s="176"/>
      <c r="M67" s="176"/>
      <c r="N67" s="176"/>
    </row>
  </sheetData>
  <mergeCells count="21">
    <mergeCell ref="B2:C2"/>
    <mergeCell ref="B9:C9"/>
    <mergeCell ref="B17:C17"/>
    <mergeCell ref="C24:N24"/>
    <mergeCell ref="C28:N28"/>
    <mergeCell ref="B29:I29"/>
    <mergeCell ref="C31:N31"/>
    <mergeCell ref="C35:N35"/>
    <mergeCell ref="B36:I36"/>
    <mergeCell ref="C38:N38"/>
    <mergeCell ref="C39:N39"/>
    <mergeCell ref="C42:K42"/>
    <mergeCell ref="B43:N43"/>
    <mergeCell ref="C45:N45"/>
    <mergeCell ref="C46:N46"/>
    <mergeCell ref="C49:N49"/>
    <mergeCell ref="B50:N50"/>
    <mergeCell ref="B53:N53"/>
    <mergeCell ref="C60:N60"/>
    <mergeCell ref="B63:N63"/>
    <mergeCell ref="B45:B46"/>
  </mergeCells>
  <pageMargins left="0.7" right="0.7" top="0.75" bottom="0.75" header="0.3" footer="0.3"/>
  <pageSetup paperSize="1" orientation="portrait" horizontalDpi="1200" verticalDpi="12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opLeftCell="A14" workbookViewId="0">
      <selection activeCell="A17" sqref="A17:M31"/>
    </sheetView>
  </sheetViews>
  <sheetFormatPr defaultColWidth="11.4285714285714" defaultRowHeight="15"/>
  <cols>
    <col min="1" max="1" width="13.5714285714286" customWidth="1"/>
    <col min="2" max="2" width="13.1428571428571" customWidth="1"/>
    <col min="3" max="3" width="9.42857142857143" customWidth="1"/>
    <col min="4" max="4" width="16.8571428571429" customWidth="1"/>
    <col min="5" max="5" width="17" customWidth="1"/>
    <col min="6" max="6" width="17.2857142857143" customWidth="1"/>
    <col min="7" max="7" width="3" customWidth="1"/>
    <col min="8" max="8" width="14.7142857142857" customWidth="1"/>
    <col min="9" max="9" width="14.1428571428571" customWidth="1"/>
    <col min="10" max="10" width="9.71428571428571" customWidth="1"/>
    <col min="11" max="11" width="17.7142857142857" customWidth="1"/>
    <col min="12" max="13" width="16.2857142857143" customWidth="1"/>
  </cols>
  <sheetData>
    <row r="1" ht="17.25" customHeight="1" spans="1:13">
      <c r="A1" s="30" t="s">
        <v>219</v>
      </c>
      <c r="B1" s="31"/>
      <c r="C1" s="31"/>
      <c r="D1" s="31"/>
      <c r="E1" s="31"/>
      <c r="F1" s="32"/>
      <c r="H1" s="33" t="s">
        <v>220</v>
      </c>
      <c r="I1" s="34"/>
      <c r="J1" s="34"/>
      <c r="K1" s="34"/>
      <c r="L1" s="34"/>
      <c r="M1" s="35"/>
    </row>
    <row r="2" ht="42" customHeight="1" spans="1:13">
      <c r="A2" s="36" t="s">
        <v>163</v>
      </c>
      <c r="B2" s="37" t="s">
        <v>221</v>
      </c>
      <c r="C2" s="38" t="s">
        <v>222</v>
      </c>
      <c r="D2" s="38" t="s">
        <v>223</v>
      </c>
      <c r="E2" s="39" t="s">
        <v>224</v>
      </c>
      <c r="F2" s="39" t="s">
        <v>225</v>
      </c>
      <c r="H2" s="40" t="s">
        <v>163</v>
      </c>
      <c r="I2" s="41" t="s">
        <v>221</v>
      </c>
      <c r="J2" s="42" t="s">
        <v>222</v>
      </c>
      <c r="K2" s="42" t="s">
        <v>223</v>
      </c>
      <c r="L2" s="43" t="s">
        <v>224</v>
      </c>
      <c r="M2" s="43" t="s">
        <v>225</v>
      </c>
    </row>
    <row r="3" ht="17.25" customHeight="1" spans="1:13">
      <c r="A3" s="44" t="s">
        <v>150</v>
      </c>
      <c r="B3" s="45" t="s">
        <v>226</v>
      </c>
      <c r="C3" s="46">
        <v>23800</v>
      </c>
      <c r="D3" s="47">
        <v>2421001960</v>
      </c>
      <c r="E3" s="48"/>
      <c r="F3" s="49"/>
      <c r="H3" s="44" t="s">
        <v>150</v>
      </c>
      <c r="I3" s="45" t="s">
        <v>226</v>
      </c>
      <c r="J3" s="46">
        <v>24800</v>
      </c>
      <c r="K3" s="47">
        <v>2627831200</v>
      </c>
      <c r="L3" s="48"/>
      <c r="M3" s="49"/>
    </row>
    <row r="4" ht="17.25" customHeight="1" spans="1:13">
      <c r="A4" s="44" t="s">
        <v>151</v>
      </c>
      <c r="B4" s="50"/>
      <c r="C4" s="46">
        <v>23800</v>
      </c>
      <c r="D4" s="47">
        <v>1829861400</v>
      </c>
      <c r="E4" s="51">
        <f t="shared" ref="E4:E10" si="0">D4-D3</f>
        <v>-591140560</v>
      </c>
      <c r="F4" s="49">
        <f t="shared" ref="F4:F10" si="1">(D4/D3*100%)-100%</f>
        <v>-0.244171863454419</v>
      </c>
      <c r="H4" s="44" t="s">
        <v>151</v>
      </c>
      <c r="I4" s="50"/>
      <c r="J4" s="46">
        <v>24800</v>
      </c>
      <c r="K4" s="47">
        <v>2126377076.19</v>
      </c>
      <c r="L4" s="51">
        <f t="shared" ref="L4:L10" si="2">K4-K3</f>
        <v>-501454123.81</v>
      </c>
      <c r="M4" s="49">
        <f t="shared" ref="M4:M10" si="3">(K4/K3*100%)-100%</f>
        <v>-0.190824328370102</v>
      </c>
    </row>
    <row r="5" ht="17.25" customHeight="1" spans="1:13">
      <c r="A5" s="44" t="s">
        <v>152</v>
      </c>
      <c r="B5" s="50"/>
      <c r="C5" s="46">
        <v>23800</v>
      </c>
      <c r="D5" s="47">
        <v>2051386104</v>
      </c>
      <c r="E5" s="51">
        <f t="shared" si="0"/>
        <v>221524704</v>
      </c>
      <c r="F5" s="49">
        <f t="shared" si="1"/>
        <v>0.121060919695885</v>
      </c>
      <c r="H5" s="44" t="s">
        <v>152</v>
      </c>
      <c r="I5" s="50"/>
      <c r="J5" s="46">
        <v>24800</v>
      </c>
      <c r="K5" s="47">
        <v>2367110400</v>
      </c>
      <c r="L5" s="51">
        <f t="shared" si="2"/>
        <v>240733323.81</v>
      </c>
      <c r="M5" s="49">
        <f t="shared" si="3"/>
        <v>0.11321290400729</v>
      </c>
    </row>
    <row r="6" ht="17.25" customHeight="1" spans="1:13">
      <c r="A6" s="44" t="s">
        <v>153</v>
      </c>
      <c r="B6" s="50"/>
      <c r="C6" s="46">
        <v>23800</v>
      </c>
      <c r="D6" s="47">
        <v>1821101080</v>
      </c>
      <c r="E6" s="51">
        <f t="shared" si="0"/>
        <v>-230285024</v>
      </c>
      <c r="F6" s="49">
        <f t="shared" si="1"/>
        <v>-0.112258254821443</v>
      </c>
      <c r="H6" s="44" t="s">
        <v>153</v>
      </c>
      <c r="I6" s="50"/>
      <c r="J6" s="46">
        <v>24800</v>
      </c>
      <c r="K6" s="47">
        <v>2110876800</v>
      </c>
      <c r="L6" s="51">
        <f t="shared" si="2"/>
        <v>-256233600</v>
      </c>
      <c r="M6" s="49">
        <f t="shared" si="3"/>
        <v>-0.108247422680412</v>
      </c>
    </row>
    <row r="7" ht="17.25" customHeight="1" spans="1:13">
      <c r="A7" s="44" t="s">
        <v>154</v>
      </c>
      <c r="B7" s="50"/>
      <c r="C7" s="46">
        <v>23800</v>
      </c>
      <c r="D7" s="47">
        <v>1749491600</v>
      </c>
      <c r="E7" s="51">
        <f t="shared" si="0"/>
        <v>-71609480</v>
      </c>
      <c r="F7" s="49">
        <f t="shared" si="1"/>
        <v>-0.0393220787063615</v>
      </c>
      <c r="H7" s="44" t="s">
        <v>154</v>
      </c>
      <c r="I7" s="50"/>
      <c r="J7" s="46">
        <v>24800</v>
      </c>
      <c r="K7" s="47">
        <v>2035112800</v>
      </c>
      <c r="L7" s="51">
        <f t="shared" si="2"/>
        <v>-75764000</v>
      </c>
      <c r="M7" s="49">
        <f t="shared" si="3"/>
        <v>-0.0358921941820575</v>
      </c>
    </row>
    <row r="8" ht="17.25" customHeight="1" spans="1:13">
      <c r="A8" s="44" t="s">
        <v>155</v>
      </c>
      <c r="B8" s="50"/>
      <c r="C8" s="46">
        <v>23800</v>
      </c>
      <c r="D8" s="47">
        <v>1946268400</v>
      </c>
      <c r="E8" s="51">
        <f t="shared" si="0"/>
        <v>196776800</v>
      </c>
      <c r="F8" s="49">
        <f t="shared" si="1"/>
        <v>0.112476561762286</v>
      </c>
      <c r="H8" s="44" t="s">
        <v>155</v>
      </c>
      <c r="I8" s="50"/>
      <c r="J8" s="46">
        <v>24800</v>
      </c>
      <c r="K8" s="47">
        <v>2165312800</v>
      </c>
      <c r="L8" s="51">
        <f t="shared" si="2"/>
        <v>130200000</v>
      </c>
      <c r="M8" s="49">
        <f t="shared" si="3"/>
        <v>0.0639767977480168</v>
      </c>
    </row>
    <row r="9" ht="17.25" customHeight="1" spans="1:13">
      <c r="A9" s="44" t="s">
        <v>156</v>
      </c>
      <c r="B9" s="50"/>
      <c r="C9" s="46">
        <v>23800</v>
      </c>
      <c r="D9" s="47">
        <v>2138065600</v>
      </c>
      <c r="E9" s="51">
        <f t="shared" si="0"/>
        <v>191797200</v>
      </c>
      <c r="F9" s="49">
        <f t="shared" si="1"/>
        <v>0.0985461203603779</v>
      </c>
      <c r="H9" s="44" t="s">
        <v>156</v>
      </c>
      <c r="I9" s="50"/>
      <c r="J9" s="46">
        <v>24800</v>
      </c>
      <c r="K9" s="52">
        <v>2364357600</v>
      </c>
      <c r="L9" s="51">
        <f t="shared" si="2"/>
        <v>199044800</v>
      </c>
      <c r="M9" s="49">
        <f t="shared" si="3"/>
        <v>0.0919242707104488</v>
      </c>
    </row>
    <row r="10" ht="17.25" customHeight="1" spans="1:13">
      <c r="A10" s="44" t="s">
        <v>157</v>
      </c>
      <c r="B10" s="50"/>
      <c r="C10" s="46">
        <v>23800</v>
      </c>
      <c r="D10" s="19">
        <v>2199708800</v>
      </c>
      <c r="E10" s="51">
        <f t="shared" si="0"/>
        <v>61643200</v>
      </c>
      <c r="F10" s="49">
        <f t="shared" si="1"/>
        <v>0.0288312949799108</v>
      </c>
      <c r="H10" s="44" t="s">
        <v>157</v>
      </c>
      <c r="I10" s="50"/>
      <c r="J10" s="46">
        <v>24800</v>
      </c>
      <c r="K10" s="47">
        <v>1080908000</v>
      </c>
      <c r="L10" s="51">
        <f t="shared" si="2"/>
        <v>-1283449600</v>
      </c>
      <c r="M10" s="49">
        <f t="shared" si="3"/>
        <v>-0.542832268688967</v>
      </c>
    </row>
    <row r="11" ht="17.25" customHeight="1" spans="1:13">
      <c r="A11" s="44" t="s">
        <v>158</v>
      </c>
      <c r="B11" s="50"/>
      <c r="C11" s="46">
        <v>23800</v>
      </c>
      <c r="D11" s="47"/>
      <c r="E11" s="53"/>
      <c r="F11" s="54"/>
      <c r="H11" s="44" t="s">
        <v>158</v>
      </c>
      <c r="I11" s="50"/>
      <c r="J11" s="46">
        <v>24800</v>
      </c>
      <c r="K11" s="47"/>
      <c r="L11" s="55"/>
      <c r="M11" s="54"/>
    </row>
    <row r="12" ht="17.25" customHeight="1" spans="1:13">
      <c r="A12" s="44" t="s">
        <v>159</v>
      </c>
      <c r="B12" s="50"/>
      <c r="C12" s="46">
        <v>23800</v>
      </c>
      <c r="D12" s="47"/>
      <c r="E12" s="55"/>
      <c r="F12" s="54"/>
      <c r="H12" s="44" t="s">
        <v>159</v>
      </c>
      <c r="I12" s="50"/>
      <c r="J12" s="46">
        <v>24800</v>
      </c>
      <c r="K12" s="47"/>
      <c r="L12" s="55"/>
      <c r="M12" s="54"/>
    </row>
    <row r="13" ht="17.25" customHeight="1" spans="1:13">
      <c r="A13" s="44" t="s">
        <v>160</v>
      </c>
      <c r="B13" s="50"/>
      <c r="C13" s="46">
        <v>23800</v>
      </c>
      <c r="D13" s="47"/>
      <c r="E13" s="56"/>
      <c r="F13" s="57"/>
      <c r="H13" s="44" t="s">
        <v>160</v>
      </c>
      <c r="I13" s="50"/>
      <c r="J13" s="46">
        <v>24800</v>
      </c>
      <c r="K13" s="47"/>
      <c r="L13" s="56"/>
      <c r="M13" s="57"/>
    </row>
    <row r="14" ht="17.25" customHeight="1" spans="1:13">
      <c r="A14" s="44" t="s">
        <v>161</v>
      </c>
      <c r="B14" s="50"/>
      <c r="C14" s="58">
        <v>23800</v>
      </c>
      <c r="D14" s="59"/>
      <c r="E14" s="60"/>
      <c r="F14" s="61"/>
      <c r="H14" s="44" t="s">
        <v>161</v>
      </c>
      <c r="I14" s="50"/>
      <c r="J14" s="58">
        <v>24800</v>
      </c>
      <c r="K14" s="59"/>
      <c r="L14" s="60"/>
      <c r="M14" s="61"/>
    </row>
    <row r="15" spans="1:13">
      <c r="A15" s="62" t="s">
        <v>15</v>
      </c>
      <c r="B15" s="62"/>
      <c r="C15" s="62"/>
      <c r="D15" s="63">
        <f>SUM(D3:D14)</f>
        <v>16156884944</v>
      </c>
      <c r="E15" s="64"/>
      <c r="F15" s="64"/>
      <c r="H15" s="62" t="s">
        <v>15</v>
      </c>
      <c r="I15" s="62"/>
      <c r="J15" s="62"/>
      <c r="K15" s="63">
        <f>SUM(K3:K14)</f>
        <v>16877886676.19</v>
      </c>
      <c r="L15" s="64"/>
      <c r="M15" s="64"/>
    </row>
    <row r="17" ht="15.75" spans="1:13">
      <c r="A17" s="65" t="s">
        <v>227</v>
      </c>
      <c r="B17" s="65"/>
      <c r="C17" s="65"/>
      <c r="D17" s="65"/>
      <c r="E17" s="65"/>
      <c r="F17" s="65"/>
      <c r="H17" s="66" t="s">
        <v>228</v>
      </c>
      <c r="I17" s="66"/>
      <c r="J17" s="66"/>
      <c r="K17" s="66"/>
      <c r="L17" s="66"/>
      <c r="M17" s="66"/>
    </row>
    <row r="18" ht="40.5" customHeight="1" spans="1:13">
      <c r="A18" s="37" t="s">
        <v>163</v>
      </c>
      <c r="B18" s="37" t="s">
        <v>221</v>
      </c>
      <c r="C18" s="38" t="s">
        <v>229</v>
      </c>
      <c r="D18" s="38" t="s">
        <v>230</v>
      </c>
      <c r="E18" s="39" t="s">
        <v>224</v>
      </c>
      <c r="F18" s="39" t="s">
        <v>225</v>
      </c>
      <c r="H18" s="41" t="s">
        <v>163</v>
      </c>
      <c r="I18" s="41" t="s">
        <v>221</v>
      </c>
      <c r="J18" s="42" t="s">
        <v>229</v>
      </c>
      <c r="K18" s="42" t="s">
        <v>231</v>
      </c>
      <c r="L18" s="43" t="s">
        <v>224</v>
      </c>
      <c r="M18" s="43" t="s">
        <v>225</v>
      </c>
    </row>
    <row r="19" customHeight="1" spans="1:13">
      <c r="A19" s="67" t="s">
        <v>150</v>
      </c>
      <c r="B19" s="68" t="s">
        <v>232</v>
      </c>
      <c r="C19" s="46">
        <v>52</v>
      </c>
      <c r="D19" s="47">
        <v>7574995374</v>
      </c>
      <c r="E19" s="69"/>
      <c r="F19" s="49"/>
      <c r="H19" s="67" t="s">
        <v>150</v>
      </c>
      <c r="I19" s="68" t="s">
        <v>232</v>
      </c>
      <c r="J19" s="46">
        <v>54</v>
      </c>
      <c r="K19" s="47">
        <v>7645057732</v>
      </c>
      <c r="L19" s="69"/>
      <c r="M19" s="49"/>
    </row>
    <row r="20" spans="1:13">
      <c r="A20" s="67" t="s">
        <v>151</v>
      </c>
      <c r="B20" s="68"/>
      <c r="C20" s="46">
        <v>52</v>
      </c>
      <c r="D20" s="47">
        <v>4332103785</v>
      </c>
      <c r="E20" s="51">
        <f t="shared" ref="E20:E26" si="4">D20-D19</f>
        <v>-3242891589</v>
      </c>
      <c r="F20" s="49">
        <f t="shared" ref="F20:F26" si="5">(D20/D19*100%)-100%</f>
        <v>-0.428104761638631</v>
      </c>
      <c r="H20" s="67" t="s">
        <v>151</v>
      </c>
      <c r="I20" s="68"/>
      <c r="J20" s="46">
        <v>54</v>
      </c>
      <c r="K20" s="47">
        <v>4361125338</v>
      </c>
      <c r="L20" s="51">
        <f t="shared" ref="L20:L26" si="6">K20-K19</f>
        <v>-3283932394</v>
      </c>
      <c r="M20" s="49">
        <f t="shared" ref="M20:M26" si="7">(K20/K19*100%)-100%</f>
        <v>-0.429549718147243</v>
      </c>
    </row>
    <row r="21" spans="1:13">
      <c r="A21" s="67" t="s">
        <v>152</v>
      </c>
      <c r="B21" s="68"/>
      <c r="C21" s="46">
        <v>52</v>
      </c>
      <c r="D21" s="47">
        <v>4449581100</v>
      </c>
      <c r="E21" s="51">
        <f t="shared" si="4"/>
        <v>117477315</v>
      </c>
      <c r="F21" s="49">
        <f t="shared" si="5"/>
        <v>0.0271178440846149</v>
      </c>
      <c r="H21" s="67" t="s">
        <v>152</v>
      </c>
      <c r="I21" s="68"/>
      <c r="J21" s="46">
        <v>54</v>
      </c>
      <c r="K21" s="47">
        <v>4615971533</v>
      </c>
      <c r="L21" s="51">
        <f t="shared" si="6"/>
        <v>254846195</v>
      </c>
      <c r="M21" s="49">
        <f t="shared" si="7"/>
        <v>0.0584358795605888</v>
      </c>
    </row>
    <row r="22" spans="1:13">
      <c r="A22" s="67" t="s">
        <v>153</v>
      </c>
      <c r="B22" s="68"/>
      <c r="C22" s="46">
        <v>52</v>
      </c>
      <c r="D22" s="47">
        <v>4472434547</v>
      </c>
      <c r="E22" s="51">
        <f t="shared" si="4"/>
        <v>22853447</v>
      </c>
      <c r="F22" s="49">
        <f t="shared" si="5"/>
        <v>0.00513608955234002</v>
      </c>
      <c r="H22" s="67" t="s">
        <v>153</v>
      </c>
      <c r="I22" s="68"/>
      <c r="J22" s="46">
        <v>54</v>
      </c>
      <c r="K22" s="47">
        <v>4299085775</v>
      </c>
      <c r="L22" s="51">
        <f t="shared" si="6"/>
        <v>-316885758</v>
      </c>
      <c r="M22" s="49">
        <f t="shared" si="7"/>
        <v>-0.0686498510085157</v>
      </c>
    </row>
    <row r="23" spans="1:13">
      <c r="A23" s="67" t="s">
        <v>154</v>
      </c>
      <c r="B23" s="68"/>
      <c r="C23" s="46">
        <v>52</v>
      </c>
      <c r="D23" s="47">
        <v>4655700589</v>
      </c>
      <c r="E23" s="51">
        <f t="shared" si="4"/>
        <v>183266042</v>
      </c>
      <c r="F23" s="49">
        <f t="shared" si="5"/>
        <v>0.0409767968818975</v>
      </c>
      <c r="H23" s="67" t="s">
        <v>154</v>
      </c>
      <c r="I23" s="68"/>
      <c r="J23" s="46">
        <v>54</v>
      </c>
      <c r="K23" s="47">
        <v>4609604743</v>
      </c>
      <c r="L23" s="51">
        <f t="shared" si="6"/>
        <v>310518968</v>
      </c>
      <c r="M23" s="49">
        <f t="shared" si="7"/>
        <v>0.0722290701445705</v>
      </c>
    </row>
    <row r="24" spans="1:13">
      <c r="A24" s="67" t="s">
        <v>155</v>
      </c>
      <c r="B24" s="68"/>
      <c r="C24" s="46">
        <v>52</v>
      </c>
      <c r="D24" s="47">
        <v>5163682135</v>
      </c>
      <c r="E24" s="51">
        <f t="shared" si="4"/>
        <v>507981546</v>
      </c>
      <c r="F24" s="49">
        <f t="shared" si="5"/>
        <v>0.109109582175496</v>
      </c>
      <c r="H24" s="67" t="s">
        <v>155</v>
      </c>
      <c r="I24" s="68"/>
      <c r="J24" s="46">
        <v>54</v>
      </c>
      <c r="K24" s="47">
        <v>5461936882</v>
      </c>
      <c r="L24" s="51">
        <f t="shared" si="6"/>
        <v>852332139</v>
      </c>
      <c r="M24" s="49">
        <f t="shared" si="7"/>
        <v>0.184903519177935</v>
      </c>
    </row>
    <row r="25" spans="1:13">
      <c r="A25" s="67" t="s">
        <v>156</v>
      </c>
      <c r="B25" s="68"/>
      <c r="C25" s="46">
        <v>52</v>
      </c>
      <c r="D25" s="47">
        <v>5119805758</v>
      </c>
      <c r="E25" s="51">
        <f t="shared" si="4"/>
        <v>-43876377</v>
      </c>
      <c r="F25" s="49">
        <f t="shared" si="5"/>
        <v>-0.00849711036676737</v>
      </c>
      <c r="H25" s="67" t="s">
        <v>156</v>
      </c>
      <c r="I25" s="68"/>
      <c r="J25" s="46">
        <v>54</v>
      </c>
      <c r="K25" s="52">
        <v>4661924871</v>
      </c>
      <c r="L25" s="51">
        <f t="shared" si="6"/>
        <v>-800012011</v>
      </c>
      <c r="M25" s="49">
        <f t="shared" si="7"/>
        <v>-0.146470387388852</v>
      </c>
    </row>
    <row r="26" spans="1:13">
      <c r="A26" s="67" t="s">
        <v>157</v>
      </c>
      <c r="B26" s="68"/>
      <c r="C26" s="46">
        <v>52</v>
      </c>
      <c r="D26" s="19">
        <v>5656952560</v>
      </c>
      <c r="E26" s="51">
        <f t="shared" si="4"/>
        <v>537146802</v>
      </c>
      <c r="F26" s="49">
        <f t="shared" si="5"/>
        <v>0.104915465037063</v>
      </c>
      <c r="H26" s="67" t="s">
        <v>157</v>
      </c>
      <c r="I26" s="68"/>
      <c r="J26" s="46">
        <v>54</v>
      </c>
      <c r="K26" s="19">
        <v>2358620270</v>
      </c>
      <c r="L26" s="51">
        <f t="shared" si="6"/>
        <v>-2303304601</v>
      </c>
      <c r="M26" s="49">
        <f t="shared" si="7"/>
        <v>-0.494067292960457</v>
      </c>
    </row>
    <row r="27" spans="1:13">
      <c r="A27" s="67" t="s">
        <v>158</v>
      </c>
      <c r="B27" s="68"/>
      <c r="C27" s="46">
        <v>52</v>
      </c>
      <c r="D27" s="47"/>
      <c r="E27" s="53"/>
      <c r="F27" s="70"/>
      <c r="H27" s="67" t="s">
        <v>158</v>
      </c>
      <c r="I27" s="68"/>
      <c r="J27" s="46">
        <v>54</v>
      </c>
      <c r="K27" s="47"/>
      <c r="L27" s="53"/>
      <c r="M27" s="70"/>
    </row>
    <row r="28" spans="1:13">
      <c r="A28" s="67" t="s">
        <v>159</v>
      </c>
      <c r="B28" s="68"/>
      <c r="C28" s="46">
        <v>52</v>
      </c>
      <c r="D28" s="47"/>
      <c r="E28" s="55"/>
      <c r="F28" s="70"/>
      <c r="H28" s="67" t="s">
        <v>159</v>
      </c>
      <c r="I28" s="68"/>
      <c r="J28" s="46">
        <v>54</v>
      </c>
      <c r="K28" s="47"/>
      <c r="L28" s="55"/>
      <c r="M28" s="70"/>
    </row>
    <row r="29" spans="1:13">
      <c r="A29" s="67" t="s">
        <v>160</v>
      </c>
      <c r="B29" s="68"/>
      <c r="C29" s="46">
        <v>52</v>
      </c>
      <c r="D29" s="47"/>
      <c r="E29" s="71"/>
      <c r="F29" s="72"/>
      <c r="H29" s="67" t="s">
        <v>160</v>
      </c>
      <c r="I29" s="68"/>
      <c r="J29" s="46">
        <v>54</v>
      </c>
      <c r="K29" s="47"/>
      <c r="L29" s="71"/>
      <c r="M29" s="72"/>
    </row>
    <row r="30" spans="1:13">
      <c r="A30" s="67" t="s">
        <v>161</v>
      </c>
      <c r="B30" s="68"/>
      <c r="C30" s="46">
        <v>52</v>
      </c>
      <c r="D30" s="47"/>
      <c r="E30" s="56"/>
      <c r="F30" s="73"/>
      <c r="H30" s="67" t="s">
        <v>161</v>
      </c>
      <c r="I30" s="68"/>
      <c r="J30" s="46">
        <v>54</v>
      </c>
      <c r="K30" s="47"/>
      <c r="L30" s="56"/>
      <c r="M30" s="73"/>
    </row>
    <row r="31" spans="1:13">
      <c r="A31" s="62" t="s">
        <v>15</v>
      </c>
      <c r="B31" s="62"/>
      <c r="C31" s="62"/>
      <c r="D31" s="74">
        <f>SUM(D19:D30)</f>
        <v>41425255848</v>
      </c>
      <c r="E31" s="64"/>
      <c r="F31" s="64"/>
      <c r="H31" s="62" t="s">
        <v>15</v>
      </c>
      <c r="I31" s="62"/>
      <c r="J31" s="62"/>
      <c r="K31" s="74">
        <f>SUM(K19:K30)</f>
        <v>38013327144</v>
      </c>
      <c r="L31" s="64"/>
      <c r="M31" s="64"/>
    </row>
  </sheetData>
  <mergeCells count="12">
    <mergeCell ref="A1:F1"/>
    <mergeCell ref="H1:M1"/>
    <mergeCell ref="A15:C15"/>
    <mergeCell ref="H15:J15"/>
    <mergeCell ref="A17:F17"/>
    <mergeCell ref="H17:M17"/>
    <mergeCell ref="A31:C31"/>
    <mergeCell ref="H31:J31"/>
    <mergeCell ref="B3:B14"/>
    <mergeCell ref="B19:B30"/>
    <mergeCell ref="I3:I14"/>
    <mergeCell ref="I19:I30"/>
  </mergeCells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62"/>
  <sheetViews>
    <sheetView zoomScale="110" zoomScaleNormal="110" topLeftCell="A27" workbookViewId="0">
      <selection activeCell="E36" sqref="E36"/>
    </sheetView>
  </sheetViews>
  <sheetFormatPr defaultColWidth="11.4285714285714" defaultRowHeight="15" outlineLevelCol="7"/>
  <cols>
    <col min="1" max="1" width="4.28571428571429" customWidth="1"/>
    <col min="2" max="2" width="32" customWidth="1"/>
    <col min="3" max="3" width="18" customWidth="1"/>
    <col min="4" max="4" width="2.71428571428571" customWidth="1"/>
    <col min="5" max="5" width="31.5714285714286" customWidth="1"/>
    <col min="6" max="6" width="20.7142857142857" customWidth="1"/>
    <col min="7" max="7" width="3.57142857142857" customWidth="1"/>
    <col min="8" max="8" width="23.2857142857143" customWidth="1"/>
  </cols>
  <sheetData>
    <row r="1" ht="15.75"/>
    <row r="2" ht="25.5" spans="2:8">
      <c r="B2" s="1">
        <v>45658</v>
      </c>
      <c r="C2" s="2" t="s">
        <v>233</v>
      </c>
      <c r="E2" s="3">
        <v>46023</v>
      </c>
      <c r="F2" s="4" t="s">
        <v>233</v>
      </c>
      <c r="H2" s="5" t="s">
        <v>234</v>
      </c>
    </row>
    <row r="3" spans="2:8">
      <c r="B3" s="6" t="s">
        <v>235</v>
      </c>
      <c r="C3" s="7">
        <v>2421001960</v>
      </c>
      <c r="E3" s="6" t="s">
        <v>235</v>
      </c>
      <c r="F3" s="7">
        <v>2627831200</v>
      </c>
      <c r="H3" s="8">
        <f>F3-C3</f>
        <v>206829240</v>
      </c>
    </row>
    <row r="4" spans="2:8">
      <c r="B4" s="6" t="s">
        <v>236</v>
      </c>
      <c r="C4" s="7">
        <v>7574995374</v>
      </c>
      <c r="E4" s="6" t="s">
        <v>236</v>
      </c>
      <c r="F4" s="7">
        <v>7645057732</v>
      </c>
      <c r="H4" s="8">
        <f t="shared" ref="H4:H5" si="0">F4-C4</f>
        <v>70062358</v>
      </c>
    </row>
    <row r="5" spans="2:8">
      <c r="B5" s="9" t="s">
        <v>15</v>
      </c>
      <c r="C5" s="10">
        <f>C3+C4</f>
        <v>9995997334</v>
      </c>
      <c r="E5" s="9" t="s">
        <v>15</v>
      </c>
      <c r="F5" s="10">
        <f>F3+F4</f>
        <v>10272888932</v>
      </c>
      <c r="H5" s="11">
        <f t="shared" si="0"/>
        <v>276891598</v>
      </c>
    </row>
    <row r="6" ht="15.75" spans="2:8">
      <c r="B6" s="12"/>
      <c r="C6" s="12"/>
      <c r="E6" s="12"/>
      <c r="F6" s="12"/>
      <c r="H6" s="12"/>
    </row>
    <row r="7" ht="25.5" spans="2:8">
      <c r="B7" s="1">
        <v>45689</v>
      </c>
      <c r="C7" s="2" t="s">
        <v>233</v>
      </c>
      <c r="E7" s="3">
        <v>46054</v>
      </c>
      <c r="F7" s="4" t="s">
        <v>233</v>
      </c>
      <c r="H7" s="5" t="s">
        <v>237</v>
      </c>
    </row>
    <row r="8" spans="2:8">
      <c r="B8" s="13" t="s">
        <v>235</v>
      </c>
      <c r="C8" s="14">
        <v>1829861400</v>
      </c>
      <c r="E8" s="13" t="s">
        <v>235</v>
      </c>
      <c r="F8" s="14">
        <v>2126377076.19</v>
      </c>
      <c r="H8" s="8">
        <f>F8-C8</f>
        <v>296515676.19</v>
      </c>
    </row>
    <row r="9" spans="2:8">
      <c r="B9" s="13" t="s">
        <v>236</v>
      </c>
      <c r="C9" s="14">
        <v>4332103785</v>
      </c>
      <c r="E9" s="13" t="s">
        <v>236</v>
      </c>
      <c r="F9" s="14">
        <v>4361125338.9</v>
      </c>
      <c r="H9" s="8">
        <f t="shared" ref="H9:H10" si="1">F9-C9</f>
        <v>29021553.8999996</v>
      </c>
    </row>
    <row r="10" ht="15.75" spans="2:8">
      <c r="B10" s="15" t="s">
        <v>15</v>
      </c>
      <c r="C10" s="16">
        <f>C8+C9</f>
        <v>6161965185</v>
      </c>
      <c r="E10" s="15" t="s">
        <v>15</v>
      </c>
      <c r="F10" s="16">
        <f>F8+F9</f>
        <v>6487502415.09</v>
      </c>
      <c r="H10" s="11">
        <f t="shared" si="1"/>
        <v>325537230.09</v>
      </c>
    </row>
    <row r="11" ht="15.75" spans="2:8">
      <c r="B11" s="12"/>
      <c r="C11" s="12"/>
      <c r="E11" s="12"/>
      <c r="F11" s="12"/>
      <c r="H11" s="12"/>
    </row>
    <row r="12" ht="25.5" spans="2:8">
      <c r="B12" s="1">
        <v>45717</v>
      </c>
      <c r="C12" s="2" t="s">
        <v>233</v>
      </c>
      <c r="E12" s="3">
        <v>46082</v>
      </c>
      <c r="F12" s="4" t="s">
        <v>233</v>
      </c>
      <c r="H12" s="5" t="s">
        <v>237</v>
      </c>
    </row>
    <row r="13" spans="2:8">
      <c r="B13" s="13" t="s">
        <v>235</v>
      </c>
      <c r="C13" s="14">
        <v>2051386104</v>
      </c>
      <c r="E13" s="13" t="s">
        <v>235</v>
      </c>
      <c r="F13" s="17">
        <v>2367110400</v>
      </c>
      <c r="H13" s="8">
        <f>F13-C13</f>
        <v>315724296</v>
      </c>
    </row>
    <row r="14" spans="2:8">
      <c r="B14" s="13" t="s">
        <v>236</v>
      </c>
      <c r="C14" s="14">
        <v>4449581100</v>
      </c>
      <c r="E14" s="13" t="s">
        <v>236</v>
      </c>
      <c r="F14" s="17">
        <v>4615971533</v>
      </c>
      <c r="H14" s="8">
        <f t="shared" ref="H14:H15" si="2">F14-C14</f>
        <v>166390433</v>
      </c>
    </row>
    <row r="15" ht="15.75" spans="2:8">
      <c r="B15" s="15" t="s">
        <v>15</v>
      </c>
      <c r="C15" s="16">
        <f>C13+C14</f>
        <v>6500967204</v>
      </c>
      <c r="E15" s="15" t="s">
        <v>15</v>
      </c>
      <c r="F15" s="16">
        <f>F13+F14</f>
        <v>6983081933</v>
      </c>
      <c r="H15" s="11">
        <f t="shared" si="2"/>
        <v>482114729</v>
      </c>
    </row>
    <row r="16" ht="15.75" spans="2:8">
      <c r="B16" s="12"/>
      <c r="C16" s="18"/>
      <c r="E16" s="12"/>
      <c r="F16" s="18"/>
      <c r="H16" s="12"/>
    </row>
    <row r="17" ht="25.5" spans="2:8">
      <c r="B17" s="1">
        <v>45748</v>
      </c>
      <c r="C17" s="2" t="s">
        <v>233</v>
      </c>
      <c r="E17" s="3">
        <v>46113</v>
      </c>
      <c r="F17" s="4" t="s">
        <v>233</v>
      </c>
      <c r="H17" s="5" t="s">
        <v>237</v>
      </c>
    </row>
    <row r="18" spans="2:8">
      <c r="B18" s="6" t="s">
        <v>235</v>
      </c>
      <c r="C18" s="14">
        <v>1821101080</v>
      </c>
      <c r="E18" s="13" t="s">
        <v>235</v>
      </c>
      <c r="F18" s="14">
        <v>2110876800</v>
      </c>
      <c r="H18" s="8">
        <f>F18-C18</f>
        <v>289775720</v>
      </c>
    </row>
    <row r="19" spans="2:8">
      <c r="B19" s="6" t="s">
        <v>236</v>
      </c>
      <c r="C19" s="14">
        <v>4472434647</v>
      </c>
      <c r="E19" s="13" t="s">
        <v>236</v>
      </c>
      <c r="F19" s="14">
        <v>4299085775</v>
      </c>
      <c r="H19" s="8">
        <f t="shared" ref="H19:H20" si="3">F19-C19</f>
        <v>-173348872</v>
      </c>
    </row>
    <row r="20" ht="15.75" spans="2:8">
      <c r="B20" s="15" t="s">
        <v>15</v>
      </c>
      <c r="C20" s="16">
        <f>C18+C19</f>
        <v>6293535727</v>
      </c>
      <c r="E20" s="15" t="s">
        <v>15</v>
      </c>
      <c r="F20" s="16">
        <f>F18+F19</f>
        <v>6409962575</v>
      </c>
      <c r="H20" s="11">
        <f t="shared" si="3"/>
        <v>116426848</v>
      </c>
    </row>
    <row r="21" ht="15.75" spans="2:8">
      <c r="B21" s="12"/>
      <c r="C21" s="12"/>
      <c r="E21" s="12"/>
      <c r="F21" s="12"/>
      <c r="H21" s="12"/>
    </row>
    <row r="22" ht="25.5" spans="2:8">
      <c r="B22" s="1">
        <v>45778</v>
      </c>
      <c r="C22" s="2" t="s">
        <v>233</v>
      </c>
      <c r="E22" s="3">
        <v>46143</v>
      </c>
      <c r="F22" s="4" t="s">
        <v>233</v>
      </c>
      <c r="H22" s="5" t="s">
        <v>237</v>
      </c>
    </row>
    <row r="23" spans="2:8">
      <c r="B23" s="13" t="s">
        <v>235</v>
      </c>
      <c r="C23" s="19">
        <v>1749491600</v>
      </c>
      <c r="E23" s="13" t="s">
        <v>235</v>
      </c>
      <c r="F23" s="19">
        <v>2035112800</v>
      </c>
      <c r="H23" s="8">
        <f>F23-C23</f>
        <v>285621200</v>
      </c>
    </row>
    <row r="24" spans="2:8">
      <c r="B24" s="13" t="s">
        <v>236</v>
      </c>
      <c r="C24" s="19">
        <v>4655700589</v>
      </c>
      <c r="E24" s="13" t="s">
        <v>236</v>
      </c>
      <c r="F24" s="19">
        <v>4609604743</v>
      </c>
      <c r="H24" s="8">
        <f t="shared" ref="H24:H25" si="4">F24-C24</f>
        <v>-46095846</v>
      </c>
    </row>
    <row r="25" ht="15.75" spans="2:8">
      <c r="B25" s="15" t="s">
        <v>15</v>
      </c>
      <c r="C25" s="16">
        <f>C23+C24</f>
        <v>6405192189</v>
      </c>
      <c r="E25" s="15" t="s">
        <v>15</v>
      </c>
      <c r="F25" s="16">
        <f>F23+F24</f>
        <v>6644717543</v>
      </c>
      <c r="H25" s="11">
        <f t="shared" si="4"/>
        <v>239525354</v>
      </c>
    </row>
    <row r="26" ht="15.75" spans="2:8">
      <c r="B26" s="12"/>
      <c r="C26" s="12"/>
      <c r="E26" s="12"/>
      <c r="F26" s="12"/>
      <c r="H26" s="12"/>
    </row>
    <row r="27" ht="25.5" spans="2:8">
      <c r="B27" s="1">
        <v>45809</v>
      </c>
      <c r="C27" s="2" t="s">
        <v>233</v>
      </c>
      <c r="E27" s="3">
        <v>46174</v>
      </c>
      <c r="F27" s="4" t="s">
        <v>233</v>
      </c>
      <c r="H27" s="5" t="s">
        <v>237</v>
      </c>
    </row>
    <row r="28" spans="2:8">
      <c r="B28" s="13" t="s">
        <v>235</v>
      </c>
      <c r="C28" s="19">
        <v>1946268400</v>
      </c>
      <c r="E28" s="13" t="s">
        <v>235</v>
      </c>
      <c r="F28" s="19">
        <v>2165312800</v>
      </c>
      <c r="H28" s="8">
        <f>F28-C28</f>
        <v>219044400</v>
      </c>
    </row>
    <row r="29" spans="2:8">
      <c r="B29" s="13" t="s">
        <v>236</v>
      </c>
      <c r="C29" s="19">
        <v>5163682135</v>
      </c>
      <c r="E29" s="13" t="s">
        <v>236</v>
      </c>
      <c r="F29" s="19">
        <v>5461936882</v>
      </c>
      <c r="H29" s="8">
        <f>F29-C29</f>
        <v>298254747</v>
      </c>
    </row>
    <row r="30" ht="15.75" spans="2:8">
      <c r="B30" s="15" t="s">
        <v>15</v>
      </c>
      <c r="C30" s="16">
        <f>C28+C29</f>
        <v>7109950535</v>
      </c>
      <c r="E30" s="15" t="s">
        <v>15</v>
      </c>
      <c r="F30" s="16">
        <f>F28+F29</f>
        <v>7627249682</v>
      </c>
      <c r="H30" s="11">
        <f>F30-C30</f>
        <v>517299147</v>
      </c>
    </row>
    <row r="31" ht="15.75" spans="2:8">
      <c r="B31" s="12"/>
      <c r="C31" s="12"/>
      <c r="E31" s="12"/>
      <c r="F31" s="12"/>
      <c r="H31" s="12"/>
    </row>
    <row r="32" ht="25.5" spans="2:8">
      <c r="B32" s="1">
        <v>45839</v>
      </c>
      <c r="C32" s="2" t="s">
        <v>233</v>
      </c>
      <c r="E32" s="3">
        <v>46204</v>
      </c>
      <c r="F32" s="4" t="s">
        <v>233</v>
      </c>
      <c r="H32" s="5" t="s">
        <v>237</v>
      </c>
    </row>
    <row r="33" spans="2:8">
      <c r="B33" s="13" t="s">
        <v>235</v>
      </c>
      <c r="C33" s="19">
        <v>2138065600</v>
      </c>
      <c r="E33" s="13" t="s">
        <v>235</v>
      </c>
      <c r="F33" s="19">
        <v>2364357600</v>
      </c>
      <c r="H33" s="8">
        <f>F33-C33</f>
        <v>226292000</v>
      </c>
    </row>
    <row r="34" spans="2:8">
      <c r="B34" s="13" t="s">
        <v>236</v>
      </c>
      <c r="C34" s="19">
        <v>5119805758</v>
      </c>
      <c r="E34" s="13" t="s">
        <v>236</v>
      </c>
      <c r="F34" s="19">
        <v>4661924871</v>
      </c>
      <c r="H34" s="8">
        <f t="shared" ref="H34:H35" si="5">F34-C34</f>
        <v>-457880887</v>
      </c>
    </row>
    <row r="35" ht="15.75" spans="2:8">
      <c r="B35" s="15" t="s">
        <v>15</v>
      </c>
      <c r="C35" s="16">
        <f>C33+C34</f>
        <v>7257871358</v>
      </c>
      <c r="E35" s="15" t="s">
        <v>15</v>
      </c>
      <c r="F35" s="16">
        <f>F33+F34</f>
        <v>7026282471</v>
      </c>
      <c r="H35" s="11">
        <f t="shared" si="5"/>
        <v>-231588887</v>
      </c>
    </row>
    <row r="36" ht="15.75" spans="2:8">
      <c r="B36" s="12"/>
      <c r="C36" s="19"/>
      <c r="E36" s="12"/>
      <c r="F36" s="19"/>
      <c r="H36" s="20"/>
    </row>
    <row r="37" ht="25.5" spans="2:8">
      <c r="B37" s="1">
        <v>45870</v>
      </c>
      <c r="C37" s="2" t="s">
        <v>233</v>
      </c>
      <c r="E37" s="3">
        <v>46235</v>
      </c>
      <c r="F37" s="4" t="s">
        <v>233</v>
      </c>
      <c r="H37" s="5" t="s">
        <v>237</v>
      </c>
    </row>
    <row r="38" spans="2:8">
      <c r="B38" s="13" t="s">
        <v>235</v>
      </c>
      <c r="C38" s="19">
        <v>2199708800</v>
      </c>
      <c r="E38" s="13" t="s">
        <v>235</v>
      </c>
      <c r="F38" s="19">
        <v>1080908000</v>
      </c>
      <c r="H38" s="8">
        <f>F38-C38</f>
        <v>-1118800800</v>
      </c>
    </row>
    <row r="39" spans="2:8">
      <c r="B39" s="13" t="s">
        <v>236</v>
      </c>
      <c r="C39" s="19">
        <v>5656952560</v>
      </c>
      <c r="E39" s="13" t="s">
        <v>236</v>
      </c>
      <c r="F39" s="19">
        <v>2358620270</v>
      </c>
      <c r="H39" s="8">
        <f t="shared" ref="H39:H40" si="6">F39-C39</f>
        <v>-3298332290</v>
      </c>
    </row>
    <row r="40" ht="15.75" spans="2:8">
      <c r="B40" s="15" t="s">
        <v>15</v>
      </c>
      <c r="C40" s="16">
        <f>C38+C39</f>
        <v>7856661360</v>
      </c>
      <c r="E40" s="15" t="s">
        <v>15</v>
      </c>
      <c r="F40" s="16">
        <f>F38+F39</f>
        <v>3439528270</v>
      </c>
      <c r="H40" s="11">
        <f t="shared" si="6"/>
        <v>-4417133090</v>
      </c>
    </row>
    <row r="41" ht="15.75" spans="2:8">
      <c r="B41" s="12"/>
      <c r="C41" s="12"/>
      <c r="E41" s="12"/>
      <c r="F41" s="12"/>
      <c r="H41" s="12"/>
    </row>
    <row r="42" ht="25.5" spans="2:8">
      <c r="B42" s="1">
        <v>45901</v>
      </c>
      <c r="C42" s="2" t="s">
        <v>233</v>
      </c>
      <c r="E42" s="3">
        <v>46266</v>
      </c>
      <c r="F42" s="4" t="s">
        <v>233</v>
      </c>
      <c r="H42" s="5" t="s">
        <v>237</v>
      </c>
    </row>
    <row r="43" spans="2:8">
      <c r="B43" s="13" t="s">
        <v>235</v>
      </c>
      <c r="C43" s="21">
        <v>2085107200</v>
      </c>
      <c r="E43" s="13" t="s">
        <v>235</v>
      </c>
      <c r="F43" s="21"/>
      <c r="H43" s="8">
        <f>F43-C43</f>
        <v>-2085107200</v>
      </c>
    </row>
    <row r="44" spans="2:8">
      <c r="B44" s="13" t="s">
        <v>236</v>
      </c>
      <c r="C44" s="22">
        <v>4660895735</v>
      </c>
      <c r="E44" s="13" t="s">
        <v>236</v>
      </c>
      <c r="F44" s="22"/>
      <c r="H44" s="8">
        <f t="shared" ref="H44:H45" si="7">F44-C44</f>
        <v>-4660895735</v>
      </c>
    </row>
    <row r="45" ht="15.75" spans="2:8">
      <c r="B45" s="15" t="s">
        <v>15</v>
      </c>
      <c r="C45" s="16">
        <f>C43+C44</f>
        <v>6746002935</v>
      </c>
      <c r="E45" s="15" t="s">
        <v>15</v>
      </c>
      <c r="F45" s="16">
        <f>F43+F44</f>
        <v>0</v>
      </c>
      <c r="H45" s="11">
        <f t="shared" si="7"/>
        <v>-6746002935</v>
      </c>
    </row>
    <row r="46" ht="15.75" spans="2:8">
      <c r="B46" s="12"/>
      <c r="C46" s="12"/>
      <c r="E46" s="12"/>
      <c r="F46" s="12"/>
      <c r="H46" s="12"/>
    </row>
    <row r="47" ht="25.5" spans="2:8">
      <c r="B47" s="1">
        <v>45931</v>
      </c>
      <c r="C47" s="2" t="s">
        <v>233</v>
      </c>
      <c r="E47" s="3">
        <v>46296</v>
      </c>
      <c r="F47" s="4" t="s">
        <v>233</v>
      </c>
      <c r="H47" s="5" t="s">
        <v>237</v>
      </c>
    </row>
    <row r="48" spans="2:8">
      <c r="B48" s="13" t="s">
        <v>235</v>
      </c>
      <c r="C48" s="21">
        <v>2269446800</v>
      </c>
      <c r="E48" s="13" t="s">
        <v>235</v>
      </c>
      <c r="F48" s="21"/>
      <c r="H48" s="8">
        <f>F48-C48</f>
        <v>-2269446800</v>
      </c>
    </row>
    <row r="49" spans="2:8">
      <c r="B49" s="13" t="s">
        <v>236</v>
      </c>
      <c r="C49" s="22">
        <v>4587879007</v>
      </c>
      <c r="E49" s="13" t="s">
        <v>236</v>
      </c>
      <c r="F49" s="22"/>
      <c r="H49" s="8">
        <f t="shared" ref="H49:H50" si="8">F49-C49</f>
        <v>-4587879007</v>
      </c>
    </row>
    <row r="50" ht="15.75" spans="2:8">
      <c r="B50" s="15" t="s">
        <v>15</v>
      </c>
      <c r="C50" s="16">
        <f>C48+C49</f>
        <v>6857325807</v>
      </c>
      <c r="E50" s="15" t="s">
        <v>15</v>
      </c>
      <c r="F50" s="16">
        <f>F48+F49</f>
        <v>0</v>
      </c>
      <c r="H50" s="11">
        <f t="shared" si="8"/>
        <v>-6857325807</v>
      </c>
    </row>
    <row r="51" ht="15.75" spans="2:8">
      <c r="B51" s="12"/>
      <c r="C51" s="12"/>
      <c r="E51" s="12"/>
      <c r="F51" s="12"/>
      <c r="H51" s="12"/>
    </row>
    <row r="52" ht="25.5" spans="2:8">
      <c r="B52" s="1">
        <v>45962</v>
      </c>
      <c r="C52" s="2" t="s">
        <v>233</v>
      </c>
      <c r="E52" s="3">
        <v>46327</v>
      </c>
      <c r="F52" s="4" t="s">
        <v>233</v>
      </c>
      <c r="H52" s="5" t="s">
        <v>237</v>
      </c>
    </row>
    <row r="53" spans="2:8">
      <c r="B53" s="13" t="s">
        <v>235</v>
      </c>
      <c r="C53" s="21">
        <v>2326606000</v>
      </c>
      <c r="E53" s="13" t="s">
        <v>235</v>
      </c>
      <c r="F53" s="21"/>
      <c r="H53" s="8">
        <f>F53-C53</f>
        <v>-2326606000</v>
      </c>
    </row>
    <row r="54" spans="2:8">
      <c r="B54" s="13" t="s">
        <v>236</v>
      </c>
      <c r="C54" s="22">
        <v>3850183642</v>
      </c>
      <c r="E54" s="13" t="s">
        <v>236</v>
      </c>
      <c r="F54" s="22"/>
      <c r="H54" s="8">
        <f t="shared" ref="H54:H55" si="9">F54-C54</f>
        <v>-3850183642</v>
      </c>
    </row>
    <row r="55" ht="15.75" spans="2:8">
      <c r="B55" s="15" t="s">
        <v>15</v>
      </c>
      <c r="C55" s="16">
        <f>C53+C54</f>
        <v>6176789642</v>
      </c>
      <c r="E55" s="15" t="s">
        <v>15</v>
      </c>
      <c r="F55" s="16">
        <f>F53+F54</f>
        <v>0</v>
      </c>
      <c r="H55" s="11">
        <f t="shared" si="9"/>
        <v>-6176789642</v>
      </c>
    </row>
    <row r="56" ht="15.75" spans="2:8">
      <c r="B56" s="23"/>
      <c r="C56" s="24"/>
      <c r="E56" s="23"/>
      <c r="F56" s="24"/>
      <c r="H56" s="25"/>
    </row>
    <row r="57" ht="25.5" spans="2:8">
      <c r="B57" s="1">
        <v>45992</v>
      </c>
      <c r="C57" s="2" t="s">
        <v>233</v>
      </c>
      <c r="E57" s="3">
        <v>46357</v>
      </c>
      <c r="F57" s="4" t="s">
        <v>233</v>
      </c>
      <c r="H57" s="5" t="s">
        <v>237</v>
      </c>
    </row>
    <row r="58" spans="2:8">
      <c r="B58" s="13" t="s">
        <v>235</v>
      </c>
      <c r="C58" s="21">
        <v>2068280400</v>
      </c>
      <c r="E58" s="13" t="s">
        <v>235</v>
      </c>
      <c r="F58" s="21"/>
      <c r="H58" s="8">
        <f>F58-C58</f>
        <v>-2068280400</v>
      </c>
    </row>
    <row r="59" spans="2:8">
      <c r="B59" s="13" t="s">
        <v>236</v>
      </c>
      <c r="C59" s="22">
        <v>4265487402</v>
      </c>
      <c r="E59" s="13" t="s">
        <v>236</v>
      </c>
      <c r="F59" s="22"/>
      <c r="H59" s="8">
        <f t="shared" ref="H59:H60" si="10">F59-C59</f>
        <v>-4265487402</v>
      </c>
    </row>
    <row r="60" ht="15.75" spans="2:8">
      <c r="B60" s="15" t="s">
        <v>15</v>
      </c>
      <c r="C60" s="16">
        <f>C58+C59</f>
        <v>6333767802</v>
      </c>
      <c r="E60" s="15" t="s">
        <v>15</v>
      </c>
      <c r="F60" s="16">
        <f>F58+F59</f>
        <v>0</v>
      </c>
      <c r="H60" s="11">
        <f t="shared" si="10"/>
        <v>-6333767802</v>
      </c>
    </row>
    <row r="61" spans="2:8">
      <c r="B61" s="26"/>
      <c r="C61" s="27"/>
    </row>
    <row r="62" spans="2:8">
      <c r="B62" s="28"/>
      <c r="C62" s="29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ESTADISTICAS AEROLINEAS </vt:lpstr>
      <vt:lpstr>DESTINO Y PROCE </vt:lpstr>
      <vt:lpstr>ATRASOS </vt:lpstr>
      <vt:lpstr>CARGA </vt:lpstr>
      <vt:lpstr>TASAS AEROPORTUARIAS</vt:lpstr>
      <vt:lpstr>TASAS MENSUALES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Martínez</dc:creator>
  <cp:lastModifiedBy>carlos.sandoval</cp:lastModifiedBy>
  <dcterms:created xsi:type="dcterms:W3CDTF">2022-06-08T21:52:00Z</dcterms:created>
  <dcterms:modified xsi:type="dcterms:W3CDTF">2026-09-09T18:57:40Z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2025-12-10T15:51:45Z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b375be82-bb09-4a09-bdac-e787dd6cc6a0</vt:lpwstr>
  </property>
  <property fmtid="{D5CDD505-2E9C-101B-9397-08002B2CF9AE}" pid="7" name="MSIP_Label_defa4170-0d19-0005-0004-bc88714345d2_ActionId">
    <vt:lpwstr>657dc658-be6c-433d-be68-aea104dfd0fc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ICV">
    <vt:lpwstr>731EF7EBBF9C44F8827B463F812DD2C0_13</vt:lpwstr>
  </property>
  <property fmtid="{D5CDD505-2E9C-101B-9397-08002B2CF9AE}" pid="11" name="KSOProductBuildVer">
    <vt:lpwstr>2058-12.1.0.28485</vt:lpwstr>
  </property>
  <property fmtid="{D5CDD505-2E9C-101B-9397-08002B2CF9AE}" pid="12" name="CalculationRule">
    <vt:i4>0</vt:i4>
  </property>
</Properties>
</file>